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bsBoOO7hmwK1GBok8TtSBR578kQcLLtp0zHsViIH7ZpHw7JPckG5Byap87zA/i4377Omwwd/pIy+giEF7o/rQA==" workbookSaltValue="+HTe5OB66QiZrxu6wSnV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N18" i="2"/>
  <c r="T13" i="12"/>
  <c r="BK11" i="11"/>
  <c r="AP10" i="21"/>
  <c r="BH9" i="11"/>
  <c r="BJ15" i="11"/>
  <c r="AP15" i="20"/>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X15" i="16"/>
  <c r="X18" i="16" s="1"/>
  <c r="V10" i="16"/>
  <c r="AP13" i="16"/>
  <c r="V9" i="16"/>
  <c r="T18" i="17"/>
  <c r="BG15" i="13"/>
  <c r="BE16" i="13"/>
  <c r="BE15" i="13"/>
  <c r="AX20" i="20"/>
  <c r="S19" i="8" l="1"/>
  <c r="AB13" i="21"/>
  <c r="BG10" i="8"/>
  <c r="M13" i="2"/>
  <c r="M18" i="2"/>
  <c r="N13" i="2"/>
  <c r="H10" i="2"/>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AZ13" i="11" s="1"/>
  <c r="BK17" i="11"/>
  <c r="R17" i="20"/>
  <c r="R18" i="20" s="1"/>
  <c r="BG15" i="11"/>
  <c r="BJ12" i="11"/>
  <c r="BI15" i="11"/>
  <c r="BM12" i="11"/>
  <c r="V11" i="11"/>
  <c r="BF10" i="11"/>
  <c r="BM16" i="11"/>
  <c r="BH11" i="16"/>
  <c r="AL16" i="11"/>
  <c r="C16" i="6"/>
  <c r="BE9" i="13"/>
  <c r="AZ19" i="11"/>
  <c r="BG9" i="11"/>
  <c r="BI17" i="11"/>
  <c r="R10" i="21"/>
  <c r="R13" i="21" s="1"/>
  <c r="R19" i="21" s="1"/>
  <c r="BJ11" i="11"/>
  <c r="V9" i="11"/>
  <c r="Q10" i="21"/>
  <c r="BI10" i="11"/>
  <c r="AZ17" i="11"/>
  <c r="S9" i="17"/>
  <c r="BK15" i="11"/>
  <c r="X11" i="17"/>
  <c r="BK9" i="11"/>
  <c r="BK12" i="11"/>
  <c r="P17" i="17"/>
  <c r="BG10" i="11"/>
  <c r="BL9" i="11"/>
  <c r="BF11"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<sst xmlns="http://schemas.openxmlformats.org/spreadsheetml/2006/main" count="2102" uniqueCount="918">
  <si>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</si>
  <si>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</si>
  <si>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</si>
  <si>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</si>
  <si>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</si>
  <si>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</si>
  <si>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</si>
  <si>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</si>
  <si>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</si>
  <si>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</si>
  <si>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</si>
  <si>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</si>
  <si>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</si>
  <si>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</si>
  <si>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</si>
  <si>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</si>
  <si>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</si>
  <si>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</si>
  <si>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</si>
  <si>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</si>
  <si>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</si>
  <si>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</si>
  <si>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</si>
  <si>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</si>
  <si>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</si>
  <si>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</si>
  <si>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</si>
  <si>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</si>
  <si>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</si>
  <si>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</si>
  <si>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</si>
  <si>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</si>
  <si>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</si>
  <si>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</si>
  <si>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</si>
  <si>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</si>
  <si>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</si>
  <si>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</si>
  <si>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</si>
  <si>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</si>
  <si>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</si>
  <si>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</si>
  <si>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</si>
  <si>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</si>
  <si>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</si>
  <si>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</si>
  <si>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</si>
  <si>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</si>
  <si>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</si>
  <si>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</si>
  <si>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</si>
  <si>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</si>
  <si>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</si>
  <si>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</si>
  <si>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</si>
  <si>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</si>
  <si>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</si>
  <si>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</si>
  <si>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</si>
  <si>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</si>
  <si>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</si>
  <si>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</si>
  <si>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</si>
  <si>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</si>
  <si>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</si>
  <si>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</si>
  <si>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</si>
  <si>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</si>
  <si>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</si>
  <si>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</si>
  <si>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</si>
  <si>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</si>
  <si>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</si>
  <si>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</si>
  <si>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</si>
  <si>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</si>
  <si>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</si>
  <si>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</si>
  <si>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</si>
  <si>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</si>
  <si>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</si>
  <si>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</si>
  <si>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</si>
  <si>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</si>
  <si>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</si>
  <si>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</si>
  <si>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</si>
  <si>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</si>
  <si>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</si>
  <si>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</si>
  <si>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</si>
  <si>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</si>
  <si>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</si>
  <si>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</si>
  <si>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</si>
  <si>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</si>
  <si>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</si>
  <si>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</si>
  <si>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</si>
  <si>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</si>
  <si>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</si>
  <si>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</si>
  <si>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</si>
  <si>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</si>
  <si>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</si>
  <si>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</si>
  <si>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</si>
  <si>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</si>
  <si>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</si>
  <si>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</si>
  <si>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</si>
  <si>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</si>
  <si>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</si>
  <si>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</si>
  <si>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</si>
  <si>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</si>
  <si>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</si>
  <si>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</si>
  <si>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</si>
  <si>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</si>
  <si>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</si>
  <si>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</si>
  <si>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</si>
  <si>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</si>
  <si>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</si>
  <si>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</si>
  <si>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</si>
  <si>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</si>
  <si>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</si>
  <si>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</si>
  <si>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</si>
  <si>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</si>
  <si>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</si>
  <si>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</si>
  <si>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</si>
  <si>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</si>
  <si>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</si>
  <si>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</si>
  <si>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</si>
  <si>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</si>
  <si>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</si>
  <si>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</si>
  <si>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</si>
  <si>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</si>
  <si>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</si>
  <si>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</si>
  <si>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</si>
  <si>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</si>
  <si>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</si>
  <si>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</si>
  <si>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</si>
  <si>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</si>
  <si>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</si>
  <si>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</si>
  <si>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</si>
  <si>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</si>
  <si>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</si>
  <si>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</si>
  <si>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</si>
  <si>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</si>
  <si>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</si>
  <si>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</si>
  <si>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</si>
  <si>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</si>
  <si>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</si>
  <si>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</si>
  <si>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</si>
  <si>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</si>
  <si>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</si>
  <si>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</si>
  <si>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</si>
  <si>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</si>
  <si>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</si>
  <si>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</si>
  <si>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</si>
  <si>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</si>
  <si>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</si>
  <si>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</si>
  <si>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</si>
  <si>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</si>
  <si>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</si>
  <si>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</si>
  <si>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</si>
  <si>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</si>
  <si>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</si>
  <si>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</si>
  <si>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</si>
  <si>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</si>
  <si>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</si>
  <si>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</si>
  <si>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</si>
  <si>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</si>
  <si>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</si>
  <si>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</si>
  <si>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</si>
  <si>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</si>
  <si>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</si>
  <si>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</si>
  <si>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</si>
  <si>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</si>
  <si>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</si>
  <si>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</si>
  <si>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</si>
  <si>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</si>
  <si>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</si>
  <si>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</si>
  <si>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</si>
  <si>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</si>
  <si>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</si>
  <si>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</si>
  <si>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</si>
  <si>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</si>
  <si>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</si>
  <si>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</si>
  <si>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</si>
  <si>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</si>
  <si>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</si>
  <si>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</si>
  <si>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</si>
  <si>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</si>
  <si>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</si>
  <si>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</si>
  <si>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</si>
  <si>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</si>
  <si>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</si>
  <si>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</si>
  <si>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</si>
  <si>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</si>
  <si>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</si>
  <si>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</si>
  <si>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</si>
  <si>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</si>
  <si>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</si>
  <si>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</si>
  <si>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</si>
  <si>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</si>
  <si>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</si>
  <si>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</si>
  <si>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</si>
  <si>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</si>
  <si>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</si>
  <si>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</si>
  <si>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</si>
  <si>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</si>
  <si>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</si>
  <si>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</si>
  <si>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</si>
  <si>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</si>
  <si>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</si>
  <si>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</si>
  <si>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</si>
  <si>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</si>
  <si>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</si>
  <si>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</si>
  <si>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</si>
  <si>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</si>
  <si>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</si>
  <si>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</si>
  <si>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</si>
  <si>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</si>
  <si>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</si>
  <si>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</si>
  <si>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</si>
  <si>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</si>
  <si>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</si>
  <si>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</si>
  <si>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</si>
  <si>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</si>
  <si>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</si>
  <si>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</si>
  <si>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</si>
  <si>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</si>
  <si>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</si>
  <si>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</si>
  <si>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</si>
  <si>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</si>
  <si>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</si>
  <si>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</si>
  <si>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</si>
  <si>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</si>
  <si>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</si>
  <si>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</si>
  <si>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</si>
  <si>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</si>
  <si>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</si>
  <si>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</si>
  <si>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</si>
  <si>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</si>
  <si>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</si>
  <si>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</si>
  <si>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</si>
  <si>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</si>
  <si>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</si>
  <si>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</si>
  <si>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</si>
  <si>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</si>
  <si>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</si>
  <si>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</si>
  <si>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</si>
  <si>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</si>
  <si>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</si>
  <si>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</si>
  <si>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</si>
  <si>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</si>
  <si>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</si>
  <si>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</si>
  <si>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</si>
  <si>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</si>
  <si>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</si>
  <si>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</si>
  <si>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</si>
  <si>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</si>
  <si>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</si>
  <si>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</si>
  <si>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</si>
  <si>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</si>
  <si>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</si>
  <si>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</si>
  <si>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</si>
  <si>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</si>
  <si>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</si>
  <si>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</si>
  <si>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</si>
  <si>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</si>
  <si>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</si>
  <si>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</si>
  <si>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</si>
  <si>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</si>
  <si>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</si>
  <si>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</si>
  <si>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</si>
  <si>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</si>
  <si>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</si>
  <si>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</si>
  <si>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</si>
  <si>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</si>
  <si>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</si>
  <si>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</si>
  <si>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</si>
  <si>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</si>
  <si>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</si>
  <si>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</si>
  <si>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</si>
  <si>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</si>
  <si>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</si>
  <si>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</si>
  <si>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</si>
  <si>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</si>
  <si>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</si>
  <si>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</si>
  <si>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</si>
  <si>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</si>
  <si>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</si>
  <si>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</si>
  <si>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</si>
  <si>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</si>
  <si>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</si>
  <si>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</si>
  <si>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</si>
  <si>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</si>
  <si>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</si>
  <si>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</si>
  <si>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</si>
  <si>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</si>
  <si>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</si>
  <si>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</si>
  <si>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</si>
  <si>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</si>
  <si>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</si>
  <si>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</si>
  <si>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</si>
  <si>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</si>
  <si>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</si>
  <si>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</si>
  <si>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</si>
  <si>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</si>
  <si>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</si>
  <si>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</si>
  <si>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</si>
  <si>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</si>
  <si>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</si>
  <si>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</si>
  <si>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</si>
  <si>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</si>
  <si>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</si>
  <si>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</si>
  <si>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</si>
  <si>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</si>
  <si>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</si>
  <si>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</si>
  <si>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</si>
  <si>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</si>
  <si>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</si>
  <si>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</si>
  <si>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</si>
  <si>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</si>
  <si>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</si>
  <si>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</si>
  <si>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</si>
  <si>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</si>
  <si>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</si>
  <si>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</si>
  <si>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</si>
  <si>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</si>
  <si>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</si>
  <si>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</si>
  <si>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</si>
  <si>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</si>
  <si>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</si>
  <si>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</si>
  <si>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</si>
  <si>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</si>
  <si>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</si>
  <si>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</si>
  <si>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</si>
  <si>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</si>
  <si>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</si>
  <si>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</si>
  <si>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</si>
  <si>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</si>
  <si>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</si>
  <si>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</si>
  <si>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</si>
  <si>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</si>
  <si>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</si>
  <si>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</si>
  <si>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</si>
  <si>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</si>
  <si>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</si>
  <si>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</si>
  <si>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</si>
  <si>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</si>
  <si>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</si>
  <si>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</si>
  <si>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</si>
  <si>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</si>
  <si>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</si>
  <si>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</si>
  <si>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</si>
  <si>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</si>
  <si>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</si>
  <si>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</si>
  <si>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</si>
  <si>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</si>
  <si>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</si>
  <si>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</si>
  <si>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</si>
  <si>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</si>
  <si>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</si>
  <si>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</si>
  <si>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</si>
  <si>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</si>
  <si>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</si>
  <si>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</si>
  <si>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</si>
  <si>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</si>
  <si>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</si>
  <si>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</si>
  <si>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</si>
  <si>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</si>
  <si>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</si>
  <si>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</si>
  <si>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</si>
  <si>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</si>
  <si>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</si>
  <si>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</si>
  <si>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</si>
  <si>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</si>
  <si>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</si>
  <si>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</si>
  <si>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</si>
  <si>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</si>
  <si>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</si>
  <si>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</si>
  <si>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</si>
  <si>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</si>
  <si>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</si>
  <si>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</si>
  <si>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</si>
  <si>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</si>
  <si>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</si>
  <si>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</si>
  <si>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</si>
  <si>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</si>
  <si>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</si>
  <si>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</si>
  <si>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</si>
  <si>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</si>
  <si>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</si>
  <si>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</si>
  <si>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</si>
  <si>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</si>
  <si>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</si>
  <si>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</si>
  <si>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</si>
  <si>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</si>
  <si>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</si>
  <si>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</si>
  <si>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</si>
  <si>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</si>
  <si>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</si>
  <si>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</si>
  <si>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</si>
  <si>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</si>
  <si>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</si>
  <si>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</si>
  <si>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</si>
  <si>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</si>
  <si>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</si>
  <si>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</si>
  <si>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</si>
  <si>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</si>
  <si>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</si>
  <si>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</si>
  <si>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</si>
  <si>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</si>
  <si>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</si>
  <si>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</si>
  <si>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</si>
  <si>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</si>
  <si>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</si>
  <si>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</si>
  <si>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</si>
  <si>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</si>
  <si>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</si>
  <si>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</si>
  <si>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</si>
  <si>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</si>
  <si>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</si>
  <si>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</si>
  <si>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</si>
  <si>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</si>
  <si>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</si>
  <si>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</si>
  <si>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</si>
  <si>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</si>
  <si>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</si>
  <si>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</si>
  <si>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</si>
  <si>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</si>
  <si>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</si>
  <si>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</si>
  <si>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</si>
  <si>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</si>
  <si>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</si>
  <si>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</si>
  <si>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</si>
  <si>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</si>
  <si>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</si>
  <si>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</si>
  <si>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</si>
  <si>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</si>
  <si>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</si>
  <si>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</si>
  <si>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</si>
  <si>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</si>
  <si>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</si>
  <si>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</si>
  <si>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</si>
  <si>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</si>
  <si>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</si>
  <si>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</si>
  <si>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</si>
  <si>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</si>
  <si>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</si>
  <si>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</si>
  <si>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</si>
  <si>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</si>
  <si>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</si>
  <si>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</si>
  <si>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</si>
  <si>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</si>
  <si>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</si>
  <si>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</si>
  <si>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</si>
  <si>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</si>
  <si>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</si>
  <si>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</si>
  <si>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</si>
  <si>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</si>
  <si>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</si>
  <si>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</si>
  <si>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</si>
  <si>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</si>
  <si>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</si>
  <si>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</si>
  <si>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</si>
  <si>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</si>
  <si>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</si>
  <si>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</si>
  <si>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</si>
  <si>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</si>
  <si>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</si>
  <si>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</si>
  <si>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</si>
  <si>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</si>
  <si>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</si>
  <si>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</si>
  <si>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</si>
  <si>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</si>
  <si>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</si>
  <si>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</si>
  <si>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</si>
  <si>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</si>
  <si>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</si>
  <si>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</si>
  <si>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</si>
  <si>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</si>
  <si>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</si>
  <si>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</si>
  <si>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</si>
  <si>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</si>
  <si>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</si>
  <si>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</si>
  <si>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</si>
  <si>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</si>
  <si>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</si>
  <si>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</si>
  <si>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</si>
  <si>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</si>
  <si>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</si>
  <si>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</si>
  <si>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</si>
  <si>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</si>
  <si>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</si>
  <si>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</si>
  <si>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</si>
  <si>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</si>
  <si>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</si>
  <si>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</si>
  <si>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</si>
  <si>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</si>
  <si>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</si>
  <si>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</si>
  <si>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</si>
  <si>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</si>
  <si>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</si>
  <si>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</si>
  <si>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</si>
  <si>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</si>
  <si>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</si>
  <si>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</si>
  <si>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</si>
  <si>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</si>
  <si>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</si>
  <si>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</si>
  <si>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</si>
  <si>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</si>
  <si>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</si>
  <si>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</si>
  <si>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</si>
  <si>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</si>
  <si>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</si>
  <si>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</si>
  <si>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</si>
  <si>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</si>
  <si>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</si>
  <si>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</si>
  <si>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</si>
  <si>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</si>
  <si>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</si>
  <si>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</si>
  <si>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</si>
  <si>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</si>
  <si>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</si>
  <si>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</si>
  <si>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</si>
  <si>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</si>
  <si>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</si>
  <si>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</si>
  <si>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</si>
  <si>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</si>
  <si>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</si>
  <si>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</si>
  <si>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</si>
  <si>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</si>
  <si>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</si>
  <si>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</si>
  <si>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</si>
  <si>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</si>
  <si>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</si>
  <si>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</si>
  <si>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</si>
  <si>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</si>
  <si>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</si>
  <si>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</si>
  <si>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</si>
  <si>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</si>
  <si>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</si>
  <si>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</si>
  <si>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</si>
  <si>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</si>
  <si>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</si>
  <si>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</si>
  <si>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</si>
  <si>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</si>
  <si>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</si>
  <si>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</si>
  <si>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</si>
  <si>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</si>
  <si>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</si>
  <si>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</si>
  <si>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</si>
  <si>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</si>
  <si>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</si>
  <si>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</si>
  <si>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</si>
  <si>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</si>
  <si>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</si>
  <si>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</si>
  <si>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</si>
  <si>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</si>
  <si>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</si>
  <si>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</si>
  <si>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</si>
  <si>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</si>
  <si>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</si>
  <si>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</si>
  <si>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</si>
  <si>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</si>
  <si>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</si>
  <si>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</si>
  <si>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</si>
  <si>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</si>
  <si>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</si>
  <si>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</si>
  <si>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</si>
  <si>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</si>
  <si>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</si>
  <si>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</si>
  <si>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</si>
  <si>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</si>
  <si>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</si>
  <si>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</si>
  <si>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</si>
  <si>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</si>
  <si>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</si>
  <si>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</si>
  <si>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</si>
  <si>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</si>
  <si>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</si>
  <si>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</si>
  <si>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</si>
  <si>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</si>
  <si>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</si>
  <si>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</si>
  <si>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</si>
  <si>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</si>
  <si>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</si>
  <si>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</si>
  <si>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</si>
  <si>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</si>
  <si>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</si>
  <si>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</si>
  <si>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</si>
  <si>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</si>
  <si>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</si>
  <si>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</si>
  <si>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</si>
  <si>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</si>
  <si>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</si>
  <si>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</si>
  <si>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</si>
  <si>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</si>
  <si>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</si>
  <si>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</si>
  <si>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</si>
  <si>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</si>
  <si>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</si>
  <si>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</si>
  <si>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</si>
  <si>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</si>
  <si>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</si>
  <si>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</si>
  <si>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</si>
  <si>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</si>
  <si>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</si>
  <si>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</si>
  <si>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</si>
  <si>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</si>
  <si>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</si>
  <si>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</si>
  <si>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</si>
  <si>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</si>
  <si>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</si>
  <si>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</si>
  <si>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</si>
  <si>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</si>
  <si>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</si>
  <si>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</si>
  <si>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</si>
  <si>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</si>
  <si>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</si>
  <si>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</si>
  <si>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</si>
  <si>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</si>
  <si>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</si>
  <si>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</si>
  <si>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</si>
  <si>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</si>
  <si>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</si>
  <si>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</si>
  <si>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</si>
  <si>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</si>
  <si>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</si>
  <si>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</si>
  <si>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</si>
  <si>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</si>
  <si>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</si>
  <si>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</si>
  <si>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</si>
  <si>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</si>
  <si>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</si>
  <si>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</si>
  <si>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</si>
  <si>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</si>
  <si>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</si>
  <si>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</si>
  <si>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</si>
  <si>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</si>
  <si>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</si>
  <si>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</si>
  <si>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</si>
  <si>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</si>
  <si>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</si>
  <si>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</si>
  <si>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</si>
  <si>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</si>
  <si>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</si>
  <si>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</si>
  <si>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</si>
  <si>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</si>
  <si>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</si>
  <si>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</si>
  <si>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</si>
  <si>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</si>
  <si>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</si>
  <si>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</si>
  <si>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</si>
  <si>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</si>
  <si>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</si>
  <si>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</si>
  <si>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</si>
  <si>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</si>
  <si>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</si>
  <si>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</si>
  <si>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</si>
  <si>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</si>
  <si>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</si>
  <si>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</si>
  <si>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</si>
  <si>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</si>
  <si>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</si>
  <si>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</si>
  <si>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</si>
  <si>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</si>
  <si>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</si>
  <si>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</si>
  <si>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</si>
  <si>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</si>
  <si>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</si>
  <si>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</si>
  <si>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</si>
  <si>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</si>
  <si>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</si>
  <si>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</si>
  <si>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</si>
  <si>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</si>
  <si>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</si>
  <si>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</si>
  <si>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</si>
  <si>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</si>
  <si>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</si>
  <si>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</si>
  <si>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</si>
  <si>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</si>
  <si>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</si>
  <si>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</si>
  <si>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</si>
  <si>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</si>
  <si>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</si>
  <si>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</si>
  <si>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</si>
  <si>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</si>
  <si>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</si>
  <si>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</si>
  <si>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</si>
  <si>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</si>
  <si>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</si>
  <si>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</si>
  <si>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</si>
  <si>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</si>
  <si>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</si>
  <si>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</si>
  <si>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</si>
  <si>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</si>
  <si>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</si>
  <si>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</si>
  <si>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</si>
  <si>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</si>
  <si>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</si>
  <si>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</si>
  <si>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</si>
  <si>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</si>
  <si>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</si>
  <si>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</si>
  <si>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</si>
  <si>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</si>
  <si>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</si>
  <si>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</si>
  <si>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</si>
  <si>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</si>
  <si>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</si>
  <si>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CASTILLA-LA MANCHA</t>
  </si>
  <si>
    <t>Provincias</t>
  </si>
  <si>
    <t>TOLEDO</t>
  </si>
  <si>
    <t>Resumenes por Partidos Judiciales</t>
  </si>
  <si>
    <t>OCAÑA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</si>
</sst>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K6rdBApSgnvzVcTcOnKu4FoRdIwBJ9DiXupYeXPp92G66FskpE8xiS7/Iml8JZDopx52oVor1Mu2xq7bRKTPQ==" saltValue="o0aSVqVbMJWd1KSG68rQE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2</v>
      </c>
      <c r="F10" s="226">
        <f>IF(ISNUMBER(Datos!K10),Datos!K10," - ")</f>
        <v>0</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0.33333333333333331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80.231250000000003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1077</v>
      </c>
      <c r="D16" s="225">
        <f>IF(ISNUMBER(IF(D_I="SI",Datos!I16,Datos!I16+Datos!AC16)),IF(D_I="SI",Datos!I16,Datos!I16+Datos!AC16)," - ")</f>
        <v>1036</v>
      </c>
      <c r="E16" s="226">
        <f>IF(ISNUMBER(IF(D_I="SI",Datos!J16,Datos!J16+Datos!AD16)),IF(D_I="SI",Datos!J16,Datos!J16+Datos!AD16)," - ")</f>
        <v>735</v>
      </c>
      <c r="F16" s="226">
        <f>IF(ISNUMBER(IF(D_I="SI",Datos!K16,Datos!K16+Datos!AE16)),IF(D_I="SI",Datos!K16,Datos!K16+Datos!AE16)," - ")</f>
        <v>794</v>
      </c>
      <c r="G16" s="1034" t="str">
        <f>IF(Datos!E16&lt;&gt;"",Datos!E16,Datos!D16)</f>
        <v>04</v>
      </c>
      <c r="H16" s="227">
        <f>IF(ISNUMBER(IF(D_I="SI",Datos!L16,Datos!L16+Datos!AF16)),IF(D_I="SI",Datos!L16,Datos!L16+Datos!AF16)," - ")</f>
        <v>1018</v>
      </c>
      <c r="I16" s="1044" t="str">
        <f>IF(ISNUMBER(Datos!AS16/Datos!BM16),Datos!AS16/Datos!BM16," - ")</f>
        <v xml:space="preserve"> - </v>
      </c>
      <c r="J16" s="1045">
        <f>IF(ISNUMBER(Datos!BY16/Datos!CN16),Datos!BY16/Datos!CN16," - ")</f>
        <v>0</v>
      </c>
      <c r="K16" s="230">
        <f t="shared" si="3"/>
        <v>-5.4781801299907153E-2</v>
      </c>
      <c r="L16" s="1025">
        <f>IF(ISNUMBER(NºAsuntos!I16/NºAsuntos!G16),(NºAsuntos!I16/NºAsuntos!G16)*11," - ")</f>
        <v>14.103274559193954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147</v>
      </c>
      <c r="D17" s="225">
        <f>IF(ISNUMBER(IF(D_I="SI",Datos!I17,Datos!I17+Datos!AC17)),IF(D_I="SI",Datos!I17,Datos!I17+Datos!AC17)," - ")</f>
        <v>147</v>
      </c>
      <c r="E17" s="226">
        <f>IF(ISNUMBER(IF(D_I="SI",Datos!J17,Datos!J17+Datos!AD17)),IF(D_I="SI",Datos!J17,Datos!J17+Datos!AD17)," - ")</f>
        <v>96</v>
      </c>
      <c r="F17" s="226">
        <f>IF(ISNUMBER(IF(D_I="SI",Datos!K17,Datos!K17+Datos!AE17)),IF(D_I="SI",Datos!K17,Datos!K17+Datos!AE17)," - ")</f>
        <v>73</v>
      </c>
      <c r="G17" s="1034" t="str">
        <f>IF(Datos!E17&lt;&gt;"",Datos!E17,Datos!D17)</f>
        <v>37</v>
      </c>
      <c r="H17" s="227">
        <f>IF(ISNUMBER(IF(D_I="SI",Datos!L17,Datos!L17+Datos!AF17)),IF(D_I="SI",Datos!L17,Datos!L17+Datos!AF17)," - ")</f>
        <v>170</v>
      </c>
      <c r="I17" s="1044" t="str">
        <f>IF(ISNUMBER(Datos!AS17/Datos!BM17),Datos!AS17/Datos!BM17," - ")</f>
        <v xml:space="preserve"> - </v>
      </c>
      <c r="J17" s="1045" t="str">
        <f>IF(ISNUMBER((Datos!BY17+Datos!BZ17)/Datos!CN17),(Datos!BY17+Datos!BZ17)/Datos!CN17," - ")</f>
        <v xml:space="preserve"> - </v>
      </c>
      <c r="K17" s="230">
        <f t="shared" si="3"/>
        <v>0.15646258503401361</v>
      </c>
      <c r="L17" s="1025">
        <f>IF(ISNUMBER(NºAsuntos!I17/NºAsuntos!G17),(NºAsuntos!I17/NºAsuntos!G17)*11," - ")</f>
        <v>25.616438356164384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1224</v>
      </c>
      <c r="D18" s="1049">
        <f>SUBTOTAL(9,D15:D17)</f>
        <v>1183</v>
      </c>
      <c r="E18" s="1050">
        <f>SUBTOTAL(9,E15:E17)</f>
        <v>831</v>
      </c>
      <c r="F18" s="1050">
        <f>SUBTOTAL(9,F15:F17)</f>
        <v>867</v>
      </c>
      <c r="G18" s="1052" t="str">
        <f ca="1">INDIRECT(CONCATENATE("G",ROW()-1))</f>
        <v>37</v>
      </c>
      <c r="H18" s="1053">
        <f ca="1">SUMIF(G$14:G17,G18,H$14:H17)</f>
        <v>170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1230</v>
      </c>
      <c r="D19" s="1071">
        <f>SUBTOTAL(9,D9:D18)</f>
        <v>1189</v>
      </c>
      <c r="E19" s="1072">
        <f>SUBTOTAL(9,E9:E18)</f>
        <v>833</v>
      </c>
      <c r="F19" s="1072">
        <f>SUBTOTAL(9,F9:F18)</f>
        <v>867</v>
      </c>
      <c r="G19" s="1073"/>
      <c r="H19" s="1074">
        <f ca="1">SUMIF(B9:B18,"TOTAL",H9:H18)</f>
        <v>170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cb1Wz7/wVN8F9pv0I752UvhVDwUKTOil/r7MLNiIRPP0G9XmIf0hAExHzIVmpjNxMkd+nE5C5BJX1q/rkIt4w==" saltValue="YZYcFh/0/U5OTuQTTdY9v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Mu0gnCQgGgHbylXuVb5WBHU3dxMkCc74sLAPZZKe9WV15RK5n25kKPNJ+Xqk/IplUsMHE8RXZjcEOmaaNjAg==" saltValue="7+5FWIdYh+lPqzxcw3ds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2</v>
      </c>
      <c r="K10" s="181">
        <v>0</v>
      </c>
      <c r="L10" s="181">
        <v>8</v>
      </c>
      <c r="M10" s="181">
        <v>0</v>
      </c>
      <c r="N10" s="181">
        <v>0</v>
      </c>
      <c r="O10" s="181">
        <v>0</v>
      </c>
      <c r="P10" s="181">
        <v>0</v>
      </c>
      <c r="Q10" s="181">
        <v>0</v>
      </c>
      <c r="R10" s="181">
        <v>0</v>
      </c>
      <c r="S10" s="181">
        <v>10</v>
      </c>
      <c r="T10" s="181">
        <v>3</v>
      </c>
      <c r="U10" s="181">
        <v>12</v>
      </c>
      <c r="V10" s="181">
        <v>1</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3</v>
      </c>
      <c r="BA10" s="129">
        <f t="shared" si="0"/>
        <v>12</v>
      </c>
      <c r="BB10" s="129">
        <f t="shared" si="0"/>
        <v>1</v>
      </c>
      <c r="BC10" s="125">
        <f t="shared" si="0"/>
        <v>3</v>
      </c>
      <c r="BD10" s="126">
        <f>IF(ISNUMBER(BA10/AZ10),BA10/AZ10," - ")</f>
        <v>4</v>
      </c>
      <c r="BE10" s="127">
        <f>IF(ISNUMBER(BB10/BA10),BB10/BA10, " - ")</f>
        <v>8.3333333333333329E-2</v>
      </c>
      <c r="BF10" s="127">
        <f>IF(ISNUMBER(BC10/BA10),BC10/BA10, " - ")</f>
        <v>0.25</v>
      </c>
      <c r="BG10" s="196">
        <f>IF(ISNUMBER((AY10+AZ10)/BA10),(AY10+AZ10)/BA10," - ")</f>
        <v>1.0833333333333333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2891</v>
      </c>
      <c r="J12" s="183">
        <v>939</v>
      </c>
      <c r="K12" s="183">
        <v>441</v>
      </c>
      <c r="L12" s="183">
        <v>3389</v>
      </c>
      <c r="M12" s="183">
        <v>120</v>
      </c>
      <c r="N12" s="183">
        <v>179</v>
      </c>
      <c r="O12" s="181">
        <v>125</v>
      </c>
      <c r="P12" s="183">
        <v>86</v>
      </c>
      <c r="Q12" s="183">
        <v>1132</v>
      </c>
      <c r="R12" s="183">
        <v>2160</v>
      </c>
      <c r="S12" s="183">
        <v>2033</v>
      </c>
      <c r="T12" s="183">
        <v>1097</v>
      </c>
      <c r="U12" s="183">
        <v>409</v>
      </c>
      <c r="V12" s="183">
        <v>2721</v>
      </c>
      <c r="W12" s="183">
        <v>69</v>
      </c>
      <c r="X12" s="189">
        <v>133</v>
      </c>
      <c r="Y12" s="191">
        <v>150</v>
      </c>
      <c r="Z12" s="181">
        <v>1</v>
      </c>
      <c r="AA12" s="181">
        <v>39</v>
      </c>
      <c r="AB12" s="181">
        <v>112</v>
      </c>
      <c r="AC12" s="183">
        <v>0</v>
      </c>
      <c r="AD12" s="183">
        <v>0</v>
      </c>
      <c r="AE12" s="183">
        <v>0</v>
      </c>
      <c r="AF12" s="189">
        <v>0</v>
      </c>
      <c r="AG12" s="202">
        <v>162</v>
      </c>
      <c r="AH12" s="183">
        <v>40</v>
      </c>
      <c r="AI12" s="183">
        <v>31</v>
      </c>
      <c r="AJ12" s="203">
        <v>171</v>
      </c>
      <c r="AK12" s="182">
        <v>0</v>
      </c>
      <c r="AL12" s="183">
        <v>0</v>
      </c>
      <c r="AM12" s="183">
        <v>0</v>
      </c>
      <c r="AN12" s="189">
        <v>0</v>
      </c>
      <c r="AO12" s="259">
        <v>2</v>
      </c>
      <c r="AP12" s="155">
        <v>2</v>
      </c>
      <c r="AQ12" s="155">
        <v>2</v>
      </c>
      <c r="AR12" s="154">
        <v>2</v>
      </c>
      <c r="AS12" s="340" t="s">
        <v>802</v>
      </c>
      <c r="AT12" s="203"/>
      <c r="AU12" s="202"/>
      <c r="AV12" s="203"/>
      <c r="AW12" s="202"/>
      <c r="AX12" s="203"/>
      <c r="AY12" s="126">
        <f t="shared" si="1"/>
        <v>2195</v>
      </c>
      <c r="AZ12" s="127">
        <f t="shared" si="1"/>
        <v>1137</v>
      </c>
      <c r="BA12" s="127">
        <f t="shared" si="1"/>
        <v>440</v>
      </c>
      <c r="BB12" s="127">
        <f t="shared" si="1"/>
        <v>2892</v>
      </c>
      <c r="BC12" s="125">
        <f>IF(ISNUMBER(X12),X12," - ")</f>
        <v>133</v>
      </c>
      <c r="BD12" s="126">
        <f t="shared" si="2"/>
        <v>0.38698328935795956</v>
      </c>
      <c r="BE12" s="127">
        <f t="shared" si="3"/>
        <v>6.5727272727272723</v>
      </c>
      <c r="BF12" s="127">
        <f t="shared" si="4"/>
        <v>0.30227272727272725</v>
      </c>
      <c r="BG12" s="196">
        <f t="shared" si="5"/>
        <v>7.5727272727272723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2897</v>
      </c>
      <c r="J13" s="184">
        <f t="shared" si="6"/>
        <v>941</v>
      </c>
      <c r="K13" s="184">
        <f t="shared" si="6"/>
        <v>441</v>
      </c>
      <c r="L13" s="184">
        <f t="shared" si="6"/>
        <v>3397</v>
      </c>
      <c r="M13" s="184">
        <f t="shared" si="6"/>
        <v>120</v>
      </c>
      <c r="N13" s="184">
        <f t="shared" si="6"/>
        <v>179</v>
      </c>
      <c r="O13" s="184">
        <f t="shared" si="6"/>
        <v>125</v>
      </c>
      <c r="P13" s="184">
        <f t="shared" si="6"/>
        <v>86</v>
      </c>
      <c r="Q13" s="184">
        <f t="shared" si="6"/>
        <v>1132</v>
      </c>
      <c r="R13" s="184">
        <f t="shared" si="6"/>
        <v>2160</v>
      </c>
      <c r="S13" s="184">
        <f t="shared" si="6"/>
        <v>2043</v>
      </c>
      <c r="T13" s="184">
        <f t="shared" si="6"/>
        <v>1100</v>
      </c>
      <c r="U13" s="184">
        <f t="shared" si="6"/>
        <v>421</v>
      </c>
      <c r="V13" s="184">
        <f t="shared" si="6"/>
        <v>2722</v>
      </c>
      <c r="W13" s="184">
        <f t="shared" si="6"/>
        <v>72</v>
      </c>
      <c r="X13" s="184">
        <f t="shared" si="6"/>
        <v>133</v>
      </c>
      <c r="Y13" s="184">
        <f t="shared" si="6"/>
        <v>150</v>
      </c>
      <c r="Z13" s="184">
        <f t="shared" si="6"/>
        <v>1</v>
      </c>
      <c r="AA13" s="184">
        <f t="shared" si="6"/>
        <v>39</v>
      </c>
      <c r="AB13" s="184">
        <f t="shared" si="6"/>
        <v>112</v>
      </c>
      <c r="AC13" s="184">
        <f t="shared" si="6"/>
        <v>0</v>
      </c>
      <c r="AD13" s="184">
        <f t="shared" si="6"/>
        <v>0</v>
      </c>
      <c r="AE13" s="184">
        <f t="shared" si="6"/>
        <v>0</v>
      </c>
      <c r="AF13" s="184">
        <f>SUBTOTAL(9,AF9:AF12)</f>
        <v>0</v>
      </c>
      <c r="AG13" s="184">
        <f t="shared" ref="AG13:AT13" si="7">SUBTOTAL(9,AG8:AG12)</f>
        <v>162</v>
      </c>
      <c r="AH13" s="184">
        <f t="shared" si="7"/>
        <v>40</v>
      </c>
      <c r="AI13" s="184">
        <f t="shared" si="7"/>
        <v>31</v>
      </c>
      <c r="AJ13" s="184">
        <f t="shared" si="7"/>
        <v>171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2205</v>
      </c>
      <c r="AZ13" s="184">
        <f>SUBTOTAL(9,AZ8:AZ12)</f>
        <v>1140</v>
      </c>
      <c r="BA13" s="184">
        <f>SUBTOTAL(9,BA8:BA12)</f>
        <v>452</v>
      </c>
      <c r="BB13" s="184">
        <f>SUBTOTAL(9,BB8:BB12)</f>
        <v>2893</v>
      </c>
      <c r="BC13" s="184">
        <f>SUBTOTAL(9,BC8:BC12)</f>
        <v>136</v>
      </c>
      <c r="BD13" s="205">
        <f>IF(ISNUMBER(BA13/AZ13),BA13/AZ13," - ")</f>
        <v>0.39649122807017545</v>
      </c>
      <c r="BE13" s="206">
        <f>IF(ISNUMBER(BB13/BA13),BB13/BA13, " - ")</f>
        <v>6.4004424778761058</v>
      </c>
      <c r="BF13" s="206">
        <f>IF(ISNUMBER(BC13/BA13),BC13/BA13, " - ")</f>
        <v>0.30088495575221241</v>
      </c>
      <c r="BG13" s="207">
        <f>IF(ISNUMBER((AY13+AZ13)/BA13),(AY13+AZ13)/BA13," - ")</f>
        <v>7.4004424778761058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1036</v>
      </c>
      <c r="J16" s="183">
        <v>735</v>
      </c>
      <c r="K16" s="183">
        <v>794</v>
      </c>
      <c r="L16" s="183">
        <v>1018</v>
      </c>
      <c r="M16" s="183">
        <v>83</v>
      </c>
      <c r="N16" s="183">
        <v>517</v>
      </c>
      <c r="O16" s="181">
        <v>15</v>
      </c>
      <c r="P16" s="183">
        <v>39</v>
      </c>
      <c r="Q16" s="183">
        <v>25</v>
      </c>
      <c r="R16" s="183">
        <v>163</v>
      </c>
      <c r="S16" s="183">
        <v>817</v>
      </c>
      <c r="T16" s="183">
        <v>678</v>
      </c>
      <c r="U16" s="183">
        <v>619</v>
      </c>
      <c r="V16" s="183">
        <v>883</v>
      </c>
      <c r="W16" s="183">
        <v>55</v>
      </c>
      <c r="X16" s="189">
        <v>337</v>
      </c>
      <c r="Y16" s="202">
        <v>0</v>
      </c>
      <c r="Z16" s="183">
        <v>0</v>
      </c>
      <c r="AA16" s="183">
        <v>0</v>
      </c>
      <c r="AB16" s="183">
        <v>0</v>
      </c>
      <c r="AC16" s="183">
        <v>0</v>
      </c>
      <c r="AD16" s="183">
        <v>8</v>
      </c>
      <c r="AE16" s="183">
        <v>8</v>
      </c>
      <c r="AF16" s="189">
        <v>0</v>
      </c>
      <c r="AG16" s="202">
        <v>0</v>
      </c>
      <c r="AH16" s="183">
        <v>0</v>
      </c>
      <c r="AI16" s="183">
        <v>0</v>
      </c>
      <c r="AJ16" s="203">
        <v>0</v>
      </c>
      <c r="AK16" s="182">
        <v>1</v>
      </c>
      <c r="AL16" s="183">
        <v>10</v>
      </c>
      <c r="AM16" s="183">
        <v>9</v>
      </c>
      <c r="AN16" s="189">
        <v>2</v>
      </c>
      <c r="AO16" s="259">
        <v>2</v>
      </c>
      <c r="AP16" s="155">
        <v>2</v>
      </c>
      <c r="AQ16" s="155">
        <v>2</v>
      </c>
      <c r="AR16" s="155">
        <v>2</v>
      </c>
      <c r="AS16" s="340" t="s">
        <v>487</v>
      </c>
      <c r="AT16" s="203"/>
      <c r="AU16" s="202"/>
      <c r="AV16" s="203"/>
      <c r="AW16" s="202"/>
      <c r="AX16" s="203"/>
      <c r="AY16" s="126">
        <f t="shared" si="9"/>
        <v>817</v>
      </c>
      <c r="AZ16" s="127">
        <f t="shared" si="9"/>
        <v>678</v>
      </c>
      <c r="BA16" s="127">
        <f t="shared" si="9"/>
        <v>619</v>
      </c>
      <c r="BB16" s="127">
        <f t="shared" si="9"/>
        <v>883</v>
      </c>
      <c r="BC16" s="125">
        <f>IF(ISNUMBER(W16),W16," - ")</f>
        <v>55</v>
      </c>
      <c r="BD16" s="126">
        <f t="shared" ref="BD16" si="11">IF(ISNUMBER(BA16/AZ16),BA16/AZ16," - ")</f>
        <v>0.91297935103244843</v>
      </c>
      <c r="BE16" s="127">
        <f t="shared" ref="BE16" si="12">IF(ISNUMBER(BB16/BA16),BB16/BA16, " - ")</f>
        <v>1.4264943457189014</v>
      </c>
      <c r="BF16" s="127">
        <f t="shared" ref="BF16" si="13">IF(ISNUMBER(BC16/BA16),BC16/BA16, " - ")</f>
        <v>8.8852988691437804E-2</v>
      </c>
      <c r="BG16" s="196">
        <f t="shared" si="10"/>
        <v>2.4151857835218093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147</v>
      </c>
      <c r="J17" s="183">
        <v>96</v>
      </c>
      <c r="K17" s="183">
        <v>73</v>
      </c>
      <c r="L17" s="183">
        <v>170</v>
      </c>
      <c r="M17" s="183">
        <v>15</v>
      </c>
      <c r="N17" s="183">
        <v>36</v>
      </c>
      <c r="O17" s="183">
        <v>0</v>
      </c>
      <c r="P17" s="183">
        <v>0</v>
      </c>
      <c r="Q17" s="183">
        <v>0</v>
      </c>
      <c r="R17" s="183">
        <v>0</v>
      </c>
      <c r="S17" s="183">
        <v>91</v>
      </c>
      <c r="T17" s="183">
        <v>24</v>
      </c>
      <c r="U17" s="183">
        <v>23</v>
      </c>
      <c r="V17" s="183">
        <v>92</v>
      </c>
      <c r="W17" s="183">
        <v>14</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91</v>
      </c>
      <c r="AZ17" s="129">
        <f t="shared" si="14"/>
        <v>24</v>
      </c>
      <c r="BA17" s="129">
        <f t="shared" si="14"/>
        <v>23</v>
      </c>
      <c r="BB17" s="129">
        <f t="shared" si="14"/>
        <v>92</v>
      </c>
      <c r="BC17" s="125">
        <f>IF(ISNUMBER(W17),W17," - ")</f>
        <v>14</v>
      </c>
      <c r="BD17" s="126">
        <f>IF(ISNUMBER(BA17/AZ17),BA17/AZ17," - ")</f>
        <v>0.95833333333333337</v>
      </c>
      <c r="BE17" s="127">
        <f>IF(ISNUMBER(BB17/BA17),BB17/BA17, " - ")</f>
        <v>4</v>
      </c>
      <c r="BF17" s="127">
        <f>IF(ISNUMBER(BC17/BA17),BC17/BA17, " - ")</f>
        <v>0.60869565217391308</v>
      </c>
      <c r="BG17" s="196">
        <f>IF(ISNUMBER((AY17+AZ17)/BA17),(AY17+AZ17)/BA17," - ")</f>
        <v>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1183</v>
      </c>
      <c r="J18" s="184">
        <f t="shared" si="15"/>
        <v>831</v>
      </c>
      <c r="K18" s="184">
        <f t="shared" si="15"/>
        <v>867</v>
      </c>
      <c r="L18" s="184">
        <f t="shared" si="15"/>
        <v>1188</v>
      </c>
      <c r="M18" s="184">
        <f t="shared" si="15"/>
        <v>98</v>
      </c>
      <c r="N18" s="184">
        <f t="shared" si="15"/>
        <v>553</v>
      </c>
      <c r="O18" s="184">
        <f t="shared" si="15"/>
        <v>15</v>
      </c>
      <c r="P18" s="184">
        <f t="shared" si="15"/>
        <v>39</v>
      </c>
      <c r="Q18" s="184">
        <f t="shared" si="15"/>
        <v>25</v>
      </c>
      <c r="R18" s="184">
        <f t="shared" si="15"/>
        <v>163</v>
      </c>
      <c r="S18" s="184">
        <f t="shared" si="15"/>
        <v>908</v>
      </c>
      <c r="T18" s="184">
        <f t="shared" si="15"/>
        <v>702</v>
      </c>
      <c r="U18" s="184">
        <f t="shared" si="15"/>
        <v>642</v>
      </c>
      <c r="V18" s="184">
        <f t="shared" si="15"/>
        <v>975</v>
      </c>
      <c r="W18" s="184">
        <f t="shared" si="15"/>
        <v>69</v>
      </c>
      <c r="X18" s="184">
        <f t="shared" si="15"/>
        <v>354</v>
      </c>
      <c r="Y18" s="184">
        <f t="shared" si="15"/>
        <v>0</v>
      </c>
      <c r="Z18" s="184">
        <f t="shared" si="15"/>
        <v>0</v>
      </c>
      <c r="AA18" s="184">
        <f t="shared" si="15"/>
        <v>0</v>
      </c>
      <c r="AB18" s="184">
        <f t="shared" si="15"/>
        <v>0</v>
      </c>
      <c r="AC18" s="184">
        <f t="shared" si="15"/>
        <v>0</v>
      </c>
      <c r="AD18" s="184">
        <f t="shared" si="15"/>
        <v>8</v>
      </c>
      <c r="AE18" s="184">
        <f t="shared" si="15"/>
        <v>8</v>
      </c>
      <c r="AF18" s="184">
        <f t="shared" si="15"/>
        <v>0</v>
      </c>
      <c r="AG18" s="184">
        <f t="shared" si="15"/>
        <v>0</v>
      </c>
      <c r="AH18" s="184">
        <f t="shared" si="15"/>
        <v>0</v>
      </c>
      <c r="AI18" s="184">
        <f t="shared" si="15"/>
        <v>0</v>
      </c>
      <c r="AJ18" s="184">
        <f t="shared" si="15"/>
        <v>0</v>
      </c>
      <c r="AK18" s="184">
        <f t="shared" si="15"/>
        <v>1</v>
      </c>
      <c r="AL18" s="184">
        <f t="shared" si="15"/>
        <v>10</v>
      </c>
      <c r="AM18" s="184">
        <f t="shared" si="15"/>
        <v>9</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908</v>
      </c>
      <c r="AZ18" s="184">
        <f>SUBTOTAL(9,AZ14:AZ17)</f>
        <v>702</v>
      </c>
      <c r="BA18" s="184">
        <f>SUBTOTAL(9,BA14:BA17)</f>
        <v>642</v>
      </c>
      <c r="BB18" s="184">
        <f>SUBTOTAL(9,BB14:BB17)</f>
        <v>975</v>
      </c>
      <c r="BC18" s="184">
        <f>SUBTOTAL(9,BC14:BC17)</f>
        <v>69</v>
      </c>
      <c r="BD18" s="205">
        <f>IF(ISNUMBER(BA18/AZ18),BA18/AZ18," - ")</f>
        <v>0.9145299145299145</v>
      </c>
      <c r="BE18" s="206">
        <f>IF(ISNUMBER(BB18/BA18),BB18/BA18, " - ")</f>
        <v>1.5186915887850467</v>
      </c>
      <c r="BF18" s="206">
        <f>IF(ISNUMBER(BC18/BA18),BC18/BA18, " - ")</f>
        <v>0.10747663551401869</v>
      </c>
      <c r="BG18" s="207">
        <f>IF(ISNUMBER((AY18+AZ18)/BA18),(AY18+AZ18)/BA18," - ")</f>
        <v>2.5077881619937696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4080</v>
      </c>
      <c r="J19" s="134">
        <f t="shared" si="18"/>
        <v>1772</v>
      </c>
      <c r="K19" s="134">
        <f t="shared" si="18"/>
        <v>1308</v>
      </c>
      <c r="L19" s="134">
        <f t="shared" si="18"/>
        <v>4585</v>
      </c>
      <c r="M19" s="134">
        <f t="shared" si="18"/>
        <v>218</v>
      </c>
      <c r="N19" s="134">
        <f t="shared" si="18"/>
        <v>732</v>
      </c>
      <c r="O19" s="134">
        <f t="shared" si="18"/>
        <v>140</v>
      </c>
      <c r="P19" s="134">
        <f t="shared" si="18"/>
        <v>125</v>
      </c>
      <c r="Q19" s="134">
        <f t="shared" si="18"/>
        <v>1157</v>
      </c>
      <c r="R19" s="134">
        <f t="shared" si="18"/>
        <v>2323</v>
      </c>
      <c r="S19" s="134">
        <f t="shared" si="18"/>
        <v>2951</v>
      </c>
      <c r="T19" s="134">
        <f t="shared" si="18"/>
        <v>1802</v>
      </c>
      <c r="U19" s="134">
        <f t="shared" si="18"/>
        <v>1063</v>
      </c>
      <c r="V19" s="134">
        <f t="shared" si="18"/>
        <v>3697</v>
      </c>
      <c r="W19" s="134">
        <f t="shared" si="18"/>
        <v>141</v>
      </c>
      <c r="X19" s="134">
        <f t="shared" si="18"/>
        <v>487</v>
      </c>
      <c r="Y19" s="134">
        <f t="shared" si="18"/>
        <v>150</v>
      </c>
      <c r="Z19" s="134">
        <f t="shared" si="18"/>
        <v>1</v>
      </c>
      <c r="AA19" s="134">
        <f t="shared" si="18"/>
        <v>39</v>
      </c>
      <c r="AB19" s="134">
        <f t="shared" si="18"/>
        <v>112</v>
      </c>
      <c r="AC19" s="134">
        <f t="shared" si="18"/>
        <v>0</v>
      </c>
      <c r="AD19" s="134">
        <f t="shared" si="18"/>
        <v>8</v>
      </c>
      <c r="AE19" s="134">
        <f t="shared" si="18"/>
        <v>8</v>
      </c>
      <c r="AF19" s="134">
        <f t="shared" si="18"/>
        <v>0</v>
      </c>
      <c r="AG19" s="134">
        <f t="shared" si="18"/>
        <v>162</v>
      </c>
      <c r="AH19" s="134">
        <f t="shared" si="18"/>
        <v>40</v>
      </c>
      <c r="AI19" s="134">
        <f t="shared" si="18"/>
        <v>31</v>
      </c>
      <c r="AJ19" s="134">
        <f t="shared" si="18"/>
        <v>171</v>
      </c>
      <c r="AK19" s="134">
        <f t="shared" si="18"/>
        <v>1</v>
      </c>
      <c r="AL19" s="134">
        <f t="shared" si="18"/>
        <v>10</v>
      </c>
      <c r="AM19" s="134">
        <f t="shared" si="18"/>
        <v>9</v>
      </c>
      <c r="AN19" s="210">
        <f t="shared" si="18"/>
        <v>2</v>
      </c>
      <c r="AO19" s="211">
        <v>3</v>
      </c>
      <c r="AP19" s="211">
        <v>2</v>
      </c>
      <c r="AQ19" s="211">
        <v>2</v>
      </c>
      <c r="AR19" s="211">
        <v>2</v>
      </c>
      <c r="AS19" s="153">
        <f t="shared" si="18"/>
        <v>0</v>
      </c>
      <c r="AT19" s="153">
        <f t="shared" si="18"/>
        <v>0</v>
      </c>
      <c r="AU19" s="211"/>
      <c r="AV19" s="212"/>
      <c r="AW19" s="211"/>
      <c r="AX19" s="212"/>
      <c r="AY19" s="133">
        <f>SUBTOTAL(9,AY9:AY18)</f>
        <v>3113</v>
      </c>
      <c r="AZ19" s="134">
        <f>SUBTOTAL(9,AZ9:AZ18)</f>
        <v>1842</v>
      </c>
      <c r="BA19" s="134">
        <f>SUBTOTAL(9,BA9:BA18)</f>
        <v>1094</v>
      </c>
      <c r="BB19" s="134">
        <f>SUBTOTAL(9,BB9:BB18)</f>
        <v>3868</v>
      </c>
      <c r="BC19" s="135">
        <f>SUBTOTAL(9,BC9:BC18)</f>
        <v>205</v>
      </c>
      <c r="BD19" s="213">
        <f>IF(ISNUMBER(BA19/AZ19),BA19/AZ19," - ")</f>
        <v>0.59391965255157442</v>
      </c>
      <c r="BE19" s="210">
        <f>IF(ISNUMBER(BB19/BA19),BB19/BA19, " - ")</f>
        <v>3.5356489945155394</v>
      </c>
      <c r="BF19" s="210">
        <f>IF(ISNUMBER(BC19/BA19),BC19/BA19, " - ")</f>
        <v>0.18738574040219377</v>
      </c>
      <c r="BG19" s="135">
        <f>IF(ISNUMBER((AY19+AZ19)/BA19),(AY19+AZ19)/BA19," - ")</f>
        <v>4.5292504570383914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iW5XU/iULPeCfLwKoY3lkDFcHuLwh5YWlFxw+JOUvHBQRu0W1N5YlvvumP49VBmedYp3ep0cp1DmwSF699qwg==" saltValue="jlcsdxSEU0tm+DplwLIS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cNoPELPW0itPyEzJN3ZDZGw3gheblBVu9ilqjsoiSTAymmjA4PGu8tuUJmFyDIt7WDhBvByOfUHGvJkAaRhPg==" saltValue="tckfohk/E0eqAS/C9IRpD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OCAÑA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8</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v>
      </c>
      <c r="O12" s="334"/>
      <c r="P12" s="334"/>
      <c r="Q12" s="226">
        <f>IF(ISNUMBER(Datos!P12),Datos!P12,0)</f>
        <v>86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112</v>
      </c>
      <c r="AI12" s="334" t="str">
        <f>IF(ISNUMBER(Datos!CD12),Datos!CD12,"-")</f>
        <v>-</v>
      </c>
      <c r="AJ12" s="334" t="str">
        <f>IF(ISNUMBER(Datos!EN12),Datos!EN12," - ")</f>
        <v xml:space="preserve"> - </v>
      </c>
      <c r="AK12" s="334"/>
      <c r="AL12" s="479"/>
      <c r="AM12" s="335">
        <f>IF(ISNUMBER(Datos!R12),Datos!R12," - ")</f>
        <v>2160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120</v>
      </c>
      <c r="BD12" s="229">
        <f>IF(ISNUMBER(Datos!N12),Datos!N12," - ")</f>
        <v>179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0.51063829787234039</v>
      </c>
      <c r="BH12" s="260">
        <f>IF(ISNUMBER(((IF(J_V="SI",Datos!L12/Datos!K12,(Datos!L12+Datos!AB12)/(Datos!K12+Datos!AA12)))*11)/factor_trimestre),((IF(J_V="SI",Datos!L12/Datos!K12,(Datos!L12+Datos!AB12)/(Datos!K12+Datos!AA12)))*11)/factor_trimestre," - ")</f>
        <v>21.881250000000001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-0.32626325639426074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1</v>
      </c>
      <c r="O13" s="900">
        <f t="shared" si="0"/>
        <v>0</v>
      </c>
      <c r="P13" s="900">
        <f t="shared" si="0"/>
        <v>0</v>
      </c>
      <c r="Q13" s="899">
        <f t="shared" si="0"/>
        <v>86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1132</v>
      </c>
      <c r="AD13" s="899">
        <f t="shared" si="1"/>
        <v>0</v>
      </c>
      <c r="AE13" s="899">
        <f t="shared" si="1"/>
        <v>0</v>
      </c>
      <c r="AF13" s="899">
        <f t="shared" si="1"/>
        <v>8</v>
      </c>
      <c r="AG13" s="899">
        <f t="shared" si="1"/>
        <v>0</v>
      </c>
      <c r="AH13" s="899">
        <f t="shared" si="1"/>
        <v>112</v>
      </c>
      <c r="AI13" s="899">
        <f t="shared" si="1"/>
        <v>0</v>
      </c>
      <c r="AJ13" s="899">
        <f t="shared" si="1"/>
        <v>0</v>
      </c>
      <c r="AK13" s="899">
        <f t="shared" si="1"/>
        <v>0</v>
      </c>
      <c r="AL13" s="899">
        <f t="shared" si="1"/>
        <v>0</v>
      </c>
      <c r="AM13" s="899">
        <f t="shared" si="1"/>
        <v>2160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120</v>
      </c>
      <c r="BD13" s="899">
        <f t="shared" si="1"/>
        <v>179</v>
      </c>
      <c r="BE13" s="899">
        <f t="shared" si="1"/>
        <v>0</v>
      </c>
      <c r="BF13" s="899">
        <f t="shared" si="1"/>
        <v>0</v>
      </c>
      <c r="BG13" s="899">
        <f>IF(ISNUMBER(Datos!K13/Datos!J13),Datos!K13/Datos!J13," - ")</f>
        <v>0.46865037194473963</v>
      </c>
      <c r="BH13" s="903">
        <f>IF(ISNUMBER(((Datos!L13/Datos!K13)*11)/factor_trimestre),((Datos!L13/Datos!K13)*11)/factor_trimestre," - ")</f>
        <v>23.10884353741497</v>
      </c>
      <c r="BI13" s="899">
        <f>IF(ISNUMBER('Resol  Asuntos'!D13/NºAsuntos!G13),'Resol  Asuntos'!D13/NºAsuntos!G13," - ")</f>
        <v>0.25</v>
      </c>
      <c r="BJ13" s="899" t="str">
        <f>IF(ISNUMBER(Datos!CI13/Datos!CJ13),Datos!CI13/Datos!CJ13," - ")</f>
        <v xml:space="preserve"> - </v>
      </c>
      <c r="BK13" s="899">
        <f>SUBTOTAL(9,BK8:BK12)</f>
        <v>0</v>
      </c>
      <c r="BL13" s="899">
        <f>IF(ISNUMBER((I13-AB13+L13)/(F13)),(I13-AB13+L13)/(F13)," - ")</f>
        <v>0</v>
      </c>
      <c r="BM13" s="904">
        <f>SUBTOTAL(9,BM9:BM12)</f>
        <v>-0.32626325639426074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1077</v>
      </c>
      <c r="G16" s="598">
        <f>IF(ISNUMBER(IF(D_I="SI",Datos!I16,Datos!I16+Datos!AC16)),IF(D_I="SI",Datos!I16,Datos!I16+Datos!AC16)," - ")</f>
        <v>1036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794</v>
      </c>
      <c r="AC16" s="226">
        <f>IF(ISNUMBER(Datos!Q16),Datos!Q16," - ")</f>
        <v>25</v>
      </c>
      <c r="AD16" s="334"/>
      <c r="AE16" s="484"/>
      <c r="AF16" s="596">
        <f>IF(ISNUMBER(IF(D_I="SI",Datos!L16,Datos!L16+Datos!AF16)),IF(D_I="SI",Datos!L16,Datos!L16+Datos!AF16)," - ")</f>
        <v>1018</v>
      </c>
      <c r="AG16" s="334"/>
      <c r="AH16" s="334"/>
      <c r="AI16" s="334"/>
      <c r="AJ16" s="334"/>
      <c r="AK16" s="334"/>
      <c r="AL16" s="479"/>
      <c r="AM16" s="335">
        <f>IF(ISNUMBER(Datos!R16),Datos!R16," - ")</f>
        <v>163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83</v>
      </c>
      <c r="BD16" s="229">
        <f>IF(ISNUMBER(Datos!N16),Datos!N16," - ")</f>
        <v>517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1.0802721088435374</v>
      </c>
      <c r="BH16" s="260">
        <f>IF(ISNUMBER(((IF(D_I="SI",Datos!L16/Datos!K16,(Datos!L16+Datos!AF16)/(Datos!K16+Datos!AE16)))*11)/factor_trimestre),((IF(D_I="SI",Datos!L16/Datos!K16,(Datos!L16+Datos!AF16)/(Datos!K16+Datos!AE16)))*11)/factor_trimestre," - ")</f>
        <v>3.8463476070528966</v>
      </c>
      <c r="BI16" s="243">
        <f>IF(ISNUMBER('Resol  Asuntos'!D16/NºAsuntos!G16),'Resol  Asuntos'!D16/NºAsuntos!G16," - ")</f>
        <v>0.10453400503778337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73</v>
      </c>
      <c r="AC17" s="226">
        <f>IF(ISNUMBER(Datos!Q17),Datos!Q17," - ")</f>
        <v>0</v>
      </c>
      <c r="AD17" s="334"/>
      <c r="AE17" s="484"/>
      <c r="AF17" s="332">
        <f>IF(ISNUMBER(Datos!L17),Datos!L17,"-")</f>
        <v>170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0.76041666666666663</v>
      </c>
      <c r="BH17" s="260">
        <f>IF(ISNUMBER(((IF(D_I="SI",Datos!L17/Datos!K17,(Datos!L17+Datos!AF17)/(Datos!K17+Datos!AE17)))*11)/factor_trimestre),((IF(D_I="SI",Datos!L17/Datos!K17,(Datos!L17+Datos!AF17)/(Datos!K17+Datos!AE17)))*11)/factor_trimestre," - ")</f>
        <v>6.9863013698630141</v>
      </c>
      <c r="BI17" s="243">
        <f>IF(ISNUMBER('Resol  Asuntos'!D17/NºAsuntos!G17),'Resol  Asuntos'!D17/NºAsuntos!G17," - ")</f>
        <v>0.20547945205479451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1077</v>
      </c>
      <c r="G18" s="898">
        <f>SUBTOTAL(9,G15:G17)</f>
        <v>1183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867</v>
      </c>
      <c r="AC18" s="899">
        <f t="shared" si="4"/>
        <v>25</v>
      </c>
      <c r="AD18" s="899">
        <f t="shared" si="4"/>
        <v>0</v>
      </c>
      <c r="AE18" s="899">
        <f t="shared" si="4"/>
        <v>0</v>
      </c>
      <c r="AF18" s="899">
        <f t="shared" si="4"/>
        <v>1188</v>
      </c>
      <c r="AG18" s="899">
        <f t="shared" si="4"/>
        <v>0</v>
      </c>
      <c r="AH18" s="899">
        <f t="shared" si="4"/>
        <v>0</v>
      </c>
      <c r="AI18" s="899">
        <f t="shared" si="4"/>
        <v>0</v>
      </c>
      <c r="AJ18" s="899">
        <f t="shared" si="4"/>
        <v>0</v>
      </c>
      <c r="AK18" s="899">
        <f t="shared" si="4"/>
        <v>0</v>
      </c>
      <c r="AL18" s="899">
        <f t="shared" si="4"/>
        <v>0</v>
      </c>
      <c r="AM18" s="899">
        <f t="shared" si="4"/>
        <v>163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98</v>
      </c>
      <c r="BD18" s="899">
        <f t="shared" si="4"/>
        <v>553</v>
      </c>
      <c r="BE18" s="899">
        <f t="shared" si="4"/>
        <v>0</v>
      </c>
      <c r="BF18" s="899">
        <f t="shared" si="4"/>
        <v>0</v>
      </c>
      <c r="BG18" s="899">
        <f>IF(ISNUMBER(Datos!K18/Datos!J18),Datos!K18/Datos!J18," - ")</f>
        <v>1.0433212996389891</v>
      </c>
      <c r="BH18" s="903">
        <f>IF(ISNUMBER(((Datos!L18/Datos!K18)*11)/factor_trimestre),((Datos!L18/Datos!K18)*11)/factor_trimestre," - ")</f>
        <v>4.1107266435986158</v>
      </c>
      <c r="BI18" s="899">
        <f>SUBTOTAL(9,BI15:BI17)</f>
        <v>0.31001345709257788</v>
      </c>
      <c r="BJ18" s="899">
        <f>SUBTOTAL(9,BJ15:BJ17)</f>
        <v>0</v>
      </c>
      <c r="BK18" s="899">
        <f>SUBTOTAL(9,BK15:BK17)</f>
        <v>0</v>
      </c>
      <c r="BL18" s="899">
        <f>IF(ISNUMBER((I18-AB18+L18)/(F18)),(I18-AB18+L18)/(F18)," - ")</f>
        <v>-0.80501392757660162</v>
      </c>
      <c r="BM18" s="905">
        <f>IF(ISNUMBER((Datos!P18-Datos!Q18)/(Datos!R18-Datos!P18+Datos!Q18)),(Datos!P18-Datos!Q18)/(Datos!R18-Datos!P18+Datos!Q18)," - ")</f>
        <v>9.3959731543624164E-2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1083</v>
      </c>
      <c r="G19" s="820">
        <f t="shared" si="6"/>
        <v>1189</v>
      </c>
      <c r="H19" s="822">
        <f t="shared" si="6"/>
        <v>0</v>
      </c>
      <c r="I19" s="820">
        <f t="shared" si="6"/>
        <v>0</v>
      </c>
      <c r="J19" s="822">
        <f t="shared" si="6"/>
        <v>0</v>
      </c>
      <c r="K19" s="822">
        <f t="shared" si="6"/>
        <v>0</v>
      </c>
      <c r="L19" s="881">
        <f t="shared" si="6"/>
        <v>0</v>
      </c>
      <c r="M19" s="881">
        <f t="shared" si="6"/>
        <v>0</v>
      </c>
      <c r="N19" s="881">
        <f t="shared" si="6"/>
        <v>1</v>
      </c>
      <c r="O19" s="881">
        <f t="shared" si="6"/>
        <v>0</v>
      </c>
      <c r="P19" s="881">
        <f t="shared" si="6"/>
        <v>0</v>
      </c>
      <c r="Q19" s="822">
        <f t="shared" si="6"/>
        <v>125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867</v>
      </c>
      <c r="AC19" s="821">
        <f t="shared" si="7"/>
        <v>1157</v>
      </c>
      <c r="AD19" s="821">
        <f t="shared" si="7"/>
        <v>0</v>
      </c>
      <c r="AE19" s="821">
        <f t="shared" si="7"/>
        <v>0</v>
      </c>
      <c r="AF19" s="828">
        <f t="shared" si="7"/>
        <v>1196</v>
      </c>
      <c r="AG19" s="828">
        <f t="shared" si="7"/>
        <v>0</v>
      </c>
      <c r="AH19" s="828">
        <f t="shared" si="7"/>
        <v>112</v>
      </c>
      <c r="AI19" s="828">
        <f t="shared" si="7"/>
        <v>0</v>
      </c>
      <c r="AJ19" s="821">
        <f t="shared" si="7"/>
        <v>0</v>
      </c>
      <c r="AK19" s="828">
        <f t="shared" si="7"/>
        <v>0</v>
      </c>
      <c r="AL19" s="828">
        <f t="shared" si="7"/>
        <v>0</v>
      </c>
      <c r="AM19" s="828">
        <f t="shared" si="7"/>
        <v>2323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218</v>
      </c>
      <c r="BD19" s="820">
        <f t="shared" si="7"/>
        <v>732</v>
      </c>
      <c r="BE19" s="820">
        <f t="shared" si="7"/>
        <v>0</v>
      </c>
      <c r="BF19" s="830">
        <f t="shared" si="7"/>
        <v>0</v>
      </c>
      <c r="BG19" s="915">
        <f>IF(ISNUMBER(Datos!K19/Datos!J19),Datos!K19/Datos!J19," - ")</f>
        <v>0.73814898419864561</v>
      </c>
      <c r="BH19" s="915">
        <f>IF(ISNUMBER(((Datos!L19/Datos!K19)*11)/factor_trimestre),((Datos!L19/Datos!K19)*11)/factor_trimestre," - ")</f>
        <v>10.516055045871559</v>
      </c>
      <c r="BI19" s="813">
        <f>IF(ISNUMBER(Datos!J19/Datos!I19),Datos!J19/Datos!I19," - ")</f>
        <v>0.43431372549019609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-0.80055401662049863</v>
      </c>
      <c r="BM19" s="889">
        <f>IF(ISNUMBER((Datos!P19-Datos!Q19+R19)/(Datos!R19-Datos!P19+Datos!Q19-R19)),(Datos!P19-Datos!Q19+R19)/(Datos!R19-Datos!P19+Datos!Q19-R19)," - ")</f>
        <v>-0.30760059612518631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618.34213830208921</v>
      </c>
      <c r="G21" s="552">
        <f>IF(ISNUMBER(STDEV(G8:G18)),STDEV(G8:G18),"-")</f>
        <v>583.84270141879824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443.31219247839329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52.602915001610569</v>
      </c>
      <c r="BD21" s="551"/>
      <c r="BE21" s="551">
        <f>IF(ISNUMBER(STDEV(BE8:BE18)),STDEV(BE8:BE18),"-")</f>
        <v>0</v>
      </c>
      <c r="BF21" s="556">
        <f>IF(ISNUMBER(STDEV(BF8:BF18)),STDEV(BF8:BF18),"-")</f>
        <v>0</v>
      </c>
      <c r="BG21" s="775">
        <f>IF(ISNUMBER(STDEV(BG8:BG18)),STDEV(BG8:BG18),"-")</f>
        <v>0.4065986835373846</v>
      </c>
      <c r="BH21" s="776">
        <f>IF(ISNUMBER(STDEV(BH8:BH18)),STDEV(BH8:BH18),"-")</f>
        <v>9.681225082880152</v>
      </c>
      <c r="BI21" s="249">
        <f>IF(ISNUMBER(STDEV(BI8:BI18)),STDEV(BI8:BI18),"-")</f>
        <v>8.6642559120471987E-2</v>
      </c>
      <c r="BJ21" s="230" t="str">
        <f>IF(ISNUMBER(BL21/BM21),BL21/BM21," - ")</f>
        <v xml:space="preserve"> - </v>
      </c>
      <c r="BK21" s="575"/>
      <c r="BL21" s="559">
        <f>IF(ISNUMBER(STDEV(BL8:BL18)),STDEV(BL8:BL18),"-")</f>
        <v>0.56923080713903129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6zLCWWfsBSKRwdppXgIrOctLf7b6E8PifMvoPZFEvfe/XqWsH7jnc2qxk3lefTY/vm8EWEPvBVbb5mdD02fnLA==" saltValue="m+jOp9GEm9Y1xwqqboLK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OCAÑA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8</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1132</v>
      </c>
      <c r="AA12" s="332" t="str">
        <f>IF(ISNUMBER(IF(J_V="SI",Datos!L12,Datos!L12+Datos!AB12)-IF(Monitorios="SI",Datos!CD12,0)),
                          IF(J_V="SI",Datos!L12,Datos!L12+Datos!AB12)-IF(Monitorios="SI",Datos!CD12,0),
                          " - ")</f>
        <v xml:space="preserve"> - </v>
      </c>
      <c r="AB12" s="334"/>
      <c r="AC12" s="334"/>
      <c r="AD12" s="484"/>
      <c r="AE12" s="484">
        <f>IF(ISNUMBER(Datos!R12),Datos!R12," - ")</f>
        <v>2160</v>
      </c>
      <c r="AF12" s="229" t="str">
        <f>IF(ISNUMBER(Datos!BV12),Datos!BV12," - ")</f>
        <v xml:space="preserve"> - </v>
      </c>
      <c r="AG12" s="225" t="str">
        <f>IF(ISNUMBER(Datos!DV12),Datos!DV12," - ")</f>
        <v xml:space="preserve"> - </v>
      </c>
      <c r="AH12" s="298"/>
      <c r="AI12" s="227"/>
      <c r="AJ12" s="225">
        <f>IF(ISNUMBER(Datos!M12),Datos!M12," - ")</f>
        <v>120</v>
      </c>
      <c r="AK12" s="229">
        <f>IF(ISNUMBER(Datos!N12),Datos!N12," - ")</f>
        <v>179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21.881250000000001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-0.32626325639426074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86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1132</v>
      </c>
      <c r="AA13" s="900">
        <f t="shared" si="2"/>
        <v>8</v>
      </c>
      <c r="AB13" s="900">
        <f t="shared" si="2"/>
        <v>0</v>
      </c>
      <c r="AC13" s="900">
        <f t="shared" si="2"/>
        <v>0</v>
      </c>
      <c r="AD13" s="900">
        <f t="shared" si="2"/>
        <v>0</v>
      </c>
      <c r="AE13" s="900">
        <f t="shared" si="2"/>
        <v>2160</v>
      </c>
      <c r="AF13" s="908">
        <f t="shared" si="2"/>
        <v>0</v>
      </c>
      <c r="AG13" s="908">
        <f t="shared" si="2"/>
        <v>0</v>
      </c>
      <c r="AH13" s="908">
        <f t="shared" si="2"/>
        <v>0</v>
      </c>
      <c r="AI13" s="908">
        <f t="shared" si="2"/>
        <v>0</v>
      </c>
      <c r="AJ13" s="908">
        <f t="shared" si="2"/>
        <v>120</v>
      </c>
      <c r="AK13" s="908">
        <f t="shared" si="2"/>
        <v>179</v>
      </c>
      <c r="AL13" s="908">
        <f t="shared" si="2"/>
        <v>0</v>
      </c>
      <c r="AM13" s="908">
        <f t="shared" si="2"/>
        <v>0</v>
      </c>
      <c r="AN13" s="908">
        <f t="shared" si="2"/>
        <v>0</v>
      </c>
      <c r="AO13" s="904">
        <f>IF(ISNUMBER(((NºAsuntos!I13/NºAsuntos!G13)*11)/factor_trimestre),((NºAsuntos!I13/NºAsuntos!G13)*11)/factor_trimestre," - ")</f>
        <v>21.931250000000002</v>
      </c>
      <c r="AP13" s="910" t="str">
        <f>IF(ISNUMBER(Datos!CI13/Datos!CJ13),Datos!CI13/Datos!CJ13," - ")</f>
        <v xml:space="preserve"> - </v>
      </c>
      <c r="AQ13" s="928">
        <f t="shared" ref="AQ13:AV13" si="3">SUBTOTAL(9,AQ9:AQ12)</f>
        <v>0</v>
      </c>
      <c r="AR13" s="928">
        <f t="shared" si="3"/>
        <v>-0.32626325639426074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1077</v>
      </c>
      <c r="G16" s="225">
        <f>IF(ISNUMBER(IF(D_I="SI",Datos!I16,Datos!I16+Datos!AC16)),IF(D_I="SI",Datos!I16,Datos!I16+Datos!AC16)," - ")</f>
        <v>1036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794</v>
      </c>
      <c r="Z16" s="619">
        <f>IF(ISNUMBER(Datos!Q16),Datos!Q16," - ")</f>
        <v>25</v>
      </c>
      <c r="AA16" s="332">
        <f>IF(ISNUMBER(IF(D_I="SI",Datos!L16,Datos!L16+Datos!AF16)),IF(D_I="SI",Datos!L16,Datos!L16+Datos!AF16)," - ")</f>
        <v>1018</v>
      </c>
      <c r="AB16" s="334"/>
      <c r="AC16" s="334"/>
      <c r="AD16" s="484"/>
      <c r="AE16" s="484">
        <f>IF(ISNUMBER(Datos!R16),Datos!R16," - ")</f>
        <v>163</v>
      </c>
      <c r="AF16" s="229" t="str">
        <f>IF(ISNUMBER(Datos!BV16),Datos!BV16," - ")</f>
        <v xml:space="preserve"> - </v>
      </c>
      <c r="AG16" s="225"/>
      <c r="AH16" s="298"/>
      <c r="AI16" s="227"/>
      <c r="AJ16" s="225">
        <f>IF(ISNUMBER(Datos!M16),Datos!M16," - ")</f>
        <v>83</v>
      </c>
      <c r="AK16" s="229">
        <f>IF(ISNUMBER(Datos!N16),Datos!N16," - ")</f>
        <v>517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3.8463476070528966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73</v>
      </c>
      <c r="Z17" s="619">
        <f>IF(ISNUMBER(Datos!Q17),Datos!Q17," - ")</f>
        <v>0</v>
      </c>
      <c r="AA17" s="332">
        <f>IF(ISNUMBER(Datos!L17),Datos!L17,"-")</f>
        <v>170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15</v>
      </c>
      <c r="AK17" s="229">
        <f>IF(ISNUMBER(Datos!N17),Datos!N17," - ")</f>
        <v>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6.9863013698630141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1077</v>
      </c>
      <c r="G18" s="898">
        <f>SUBTOTAL(9,G15:G17)</f>
        <v>1183</v>
      </c>
      <c r="H18" s="932">
        <f>SUBTOTAL(9,H15:H17)</f>
        <v>0</v>
      </c>
      <c r="I18" s="911">
        <f>SUBTOTAL(9,I15:I17)</f>
        <v>0</v>
      </c>
      <c r="J18" s="867">
        <f>SUBTOTAL(9,J14:J17)</f>
        <v>0</v>
      </c>
      <c r="K18" s="932">
        <f t="shared" ref="K18:S18" si="4">SUBTOTAL(9,K15:K17)</f>
        <v>0</v>
      </c>
      <c r="L18" s="932">
        <f t="shared" si="4"/>
        <v>0</v>
      </c>
      <c r="M18" s="932">
        <f t="shared" si="4"/>
        <v>0</v>
      </c>
      <c r="N18" s="932">
        <f t="shared" si="4"/>
        <v>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867</v>
      </c>
      <c r="Z18" s="932">
        <f t="shared" si="5"/>
        <v>25</v>
      </c>
      <c r="AA18" s="932">
        <f t="shared" si="5"/>
        <v>1188</v>
      </c>
      <c r="AB18" s="932">
        <f t="shared" si="5"/>
        <v>0</v>
      </c>
      <c r="AC18" s="932">
        <f t="shared" si="5"/>
        <v>0</v>
      </c>
      <c r="AD18" s="932">
        <f t="shared" si="5"/>
        <v>0</v>
      </c>
      <c r="AE18" s="932">
        <f t="shared" si="5"/>
        <v>163</v>
      </c>
      <c r="AF18" s="932">
        <f t="shared" si="5"/>
        <v>0</v>
      </c>
      <c r="AG18" s="932">
        <f t="shared" si="5"/>
        <v>0</v>
      </c>
      <c r="AH18" s="932">
        <f t="shared" si="5"/>
        <v>0</v>
      </c>
      <c r="AI18" s="932">
        <f t="shared" si="5"/>
        <v>0</v>
      </c>
      <c r="AJ18" s="932">
        <f t="shared" si="5"/>
        <v>98</v>
      </c>
      <c r="AK18" s="932">
        <f t="shared" si="5"/>
        <v>553</v>
      </c>
      <c r="AL18" s="932">
        <f t="shared" si="5"/>
        <v>0</v>
      </c>
      <c r="AM18" s="932">
        <f t="shared" si="5"/>
        <v>0</v>
      </c>
      <c r="AN18" s="932">
        <f t="shared" si="5"/>
        <v>0</v>
      </c>
      <c r="AO18" s="934">
        <f>IF(ISNUMBER(((NºAsuntos!I18/NºAsuntos!G18)*11)/factor_trimestre),((NºAsuntos!I18/NºAsuntos!G18)*11)/factor_trimestre," - ")</f>
        <v>4.1107266435986158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1083</v>
      </c>
      <c r="G19" s="820">
        <f t="shared" si="7"/>
        <v>1189</v>
      </c>
      <c r="H19" s="821">
        <f t="shared" si="7"/>
        <v>0</v>
      </c>
      <c r="I19" s="820">
        <f t="shared" si="7"/>
        <v>0</v>
      </c>
      <c r="J19" s="822">
        <f t="shared" si="7"/>
        <v>0</v>
      </c>
      <c r="K19" s="820">
        <f t="shared" si="7"/>
        <v>0</v>
      </c>
      <c r="L19" s="823">
        <f t="shared" si="7"/>
        <v>0</v>
      </c>
      <c r="M19" s="820">
        <f t="shared" si="7"/>
        <v>0</v>
      </c>
      <c r="N19" s="821">
        <f t="shared" si="7"/>
        <v>125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867</v>
      </c>
      <c r="Z19" s="827">
        <f t="shared" si="8"/>
        <v>1157</v>
      </c>
      <c r="AA19" s="828">
        <f t="shared" si="8"/>
        <v>1196</v>
      </c>
      <c r="AB19" s="828">
        <f t="shared" si="8"/>
        <v>0</v>
      </c>
      <c r="AC19" s="828">
        <f t="shared" si="8"/>
        <v>0</v>
      </c>
      <c r="AD19" s="829">
        <f t="shared" si="8"/>
        <v>0</v>
      </c>
      <c r="AE19" s="829">
        <f t="shared" si="8"/>
        <v>2323</v>
      </c>
      <c r="AF19" s="830">
        <f t="shared" si="8"/>
        <v>0</v>
      </c>
      <c r="AG19" s="831">
        <f t="shared" si="8"/>
        <v>0</v>
      </c>
      <c r="AH19" s="832">
        <f t="shared" si="8"/>
        <v>0</v>
      </c>
      <c r="AI19" s="830">
        <f t="shared" si="8"/>
        <v>0</v>
      </c>
      <c r="AJ19" s="820">
        <f t="shared" si="8"/>
        <v>218</v>
      </c>
      <c r="AK19" s="820">
        <f t="shared" si="8"/>
        <v>732</v>
      </c>
      <c r="AL19" s="820">
        <f t="shared" si="8"/>
        <v>0</v>
      </c>
      <c r="AM19" s="833">
        <f t="shared" si="8"/>
        <v>0</v>
      </c>
      <c r="AN19" s="823">
        <f>IF(ISNUMBER(Datos!K19/Datos!J19),Datos!K19/Datos!J19," - ")</f>
        <v>0.73814898419864561</v>
      </c>
      <c r="AO19" s="823">
        <f>IF(ISNUMBER(FIND("06",Criterios!A8,1)),(IF(ISNUMBER(((Datos!R19/Datos!Q19)*11)/factor_trimestre),((Datos!R19/Datos!Q19)*11)/factor_trimestre," - ")),(IF(ISNUMBER(((Datos!L19/Datos!K19)*11)/factor_trimestre),((Datos!L19/Datos!K19)*11)/factor_trimestre," - ")))</f>
        <v>10.516055045871559</v>
      </c>
      <c r="AP19" s="834" t="str">
        <f>IF(ISNUMBER(Datos!CI19/Datos!CJ19),Datos!CI19/Datos!CJ19," - ")</f>
        <v xml:space="preserve"> - </v>
      </c>
      <c r="AQ19" s="834">
        <f>IF(OR(ISNUMBER(FIND("01",Criterios!A8,1)),ISNUMBER(FIND("02",Criterios!A8,1)),ISNUMBER(FIND("03",Criterios!A8,1)),ISNUMBER(FIND("04",Criterios!A8,1))),(J19-Y19+K19)/(F19-K19),(I19-Y19+K19)/(F19-K19))</f>
        <v>-0.80055401662049863</v>
      </c>
      <c r="AR19" s="834">
        <f>IF(ISNUMBER((Datos!P19-Datos!Q19+O19)/(Datos!R19-Datos!P19+Datos!Q19-O19)),(Datos!P19-Datos!Q19+O19)/(Datos!R19-Datos!P19+Datos!Q19-O19)," - ")</f>
        <v>-0.30760059612518631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618.34213830208921</v>
      </c>
      <c r="G21" s="552">
        <f>IF(ISNUMBER(STDEV(G8:G18)),STDEV(G8:G18),"-")</f>
        <v>583.84270141879824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52.602915001610569</v>
      </c>
      <c r="AK21" s="252"/>
      <c r="AL21" s="252">
        <f>IF(ISNUMBER(STDEV(AL8:AL18)),STDEV(AL8:AL18),"-")</f>
        <v>0</v>
      </c>
      <c r="AM21" s="254">
        <f>IF(ISNUMBER(STDEV(AM8:AM18)),STDEV(AM8:AM18),"-")</f>
        <v>0</v>
      </c>
      <c r="AN21" s="539">
        <f>IF(ISNUMBER(STDEV(AN8:AN18)),STDEV(AN8:AN18),"-")</f>
        <v>0</v>
      </c>
      <c r="AO21" s="540">
        <f>IF(ISNUMBER(STDEV(AO8:AO18)),STDEV(AO8:AO18),"-")</f>
        <v>9.3517259693271111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Iyj3qtVXCr4fKjVCz50xSXe7ImO58zR2iP6n+wuxZAN/6jYltxnPUxnHVdjDHCsL6kqlPGsZrjtTsARzk4sOrw==" saltValue="mzUFN7FT1itrAD162IWu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SP4/0rBQYSPIBSduC53jzKN7ycpbLv0Oc4dQ1BjrxRvja/ctYj48nwkMT9/ifO74gBAR7SkPR3uURXhGWtMHA==" saltValue="/a9titlfI5nzKb2otsiT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YVtMD5AAwI9w6Hnna26WG9J8/TKBNZZIV8Cjz302z9m099Uft6Hln3pmSr3GApN2jKWLfLMuu/eG5FmiE3qMw==" saltValue="MWpVLtHv/SgYv7CtOE4sz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OCAÑA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0.17677669529663689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6f/FeKlOnXmLiy0IvpQCMuKzUYY6VIv0/XX1l0uY0v4rnhafEXDdksCdU4UbVosr8d7C0qUCanKymUxI7w4m9g==" saltValue="zQFcGTwDqm+UjsoMaqoy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FjfLC653qxPUO4IY4/76nPsMDvyKD10kY0FYAtM18tE6thtbo6Cp6syS4Z7d+fD30qyv+vYFNrOxDER/dyplA==" saltValue="XvLRPPH6ek1DR6cK1tpj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OCAÑA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2</v>
      </c>
      <c r="F10" s="404">
        <f>IF(ISNUMBER(E10/B10),E10/B10," - ")</f>
        <v>2</v>
      </c>
      <c r="G10" s="403">
        <f>IF(ISNUMBER(Datos!K10),Datos!K10," - ")</f>
        <v>0</v>
      </c>
      <c r="H10" s="404">
        <f>IF(ISNUMBER(G10/B10),G10/B10," - ")</f>
        <v>0</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3041</v>
      </c>
      <c r="D12" s="404">
        <f>IF(ISNUMBER(C12/Datos!BH12),C12/Datos!BH12," - ")</f>
        <v>1520.5</v>
      </c>
      <c r="E12" s="403">
        <f>IF(ISNUMBER(IF(J_V="SI",Datos!J12,Datos!J12+Datos!Z12)),IF(J_V="SI",Datos!J12,Datos!J12+Datos!Z12)," - ")</f>
        <v>940</v>
      </c>
      <c r="F12" s="404">
        <f>IF(ISNUMBER(E12/B12),E12/B12," - ")</f>
        <v>470</v>
      </c>
      <c r="G12" s="403">
        <f>IF(ISNUMBER(IF(J_V="SI",Datos!K12,Datos!K12+Datos!AA12)),IF(J_V="SI",Datos!K12,Datos!K12+Datos!AA12)," - ")</f>
        <v>480</v>
      </c>
      <c r="H12" s="404">
        <f>IF(ISNUMBER(G12/B12),G12/B12," - ")</f>
        <v>240</v>
      </c>
      <c r="I12" s="403">
        <f>IF(ISNUMBER(IF(J_V="SI",Datos!L12,Datos!L12+Datos!AB12)),IF(J_V="SI",Datos!L12,Datos!L12+Datos!AB12)," - ")</f>
        <v>3501</v>
      </c>
      <c r="J12" s="404">
        <f>IF(ISNUMBER(I12/B12),I12/B12," - ")</f>
        <v>1750.5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3047</v>
      </c>
      <c r="D13" s="850" t="str">
        <f>IF(ISNUMBER(C13/Datos!BI13),C13/Datos!BI13," - ")</f>
        <v xml:space="preserve"> - </v>
      </c>
      <c r="E13" s="849">
        <f>SUBTOTAL(9,E8:E12)</f>
        <v>942</v>
      </c>
      <c r="F13" s="850">
        <f>IF(ISNUMBER(E13/B13),E13/B13," - ")</f>
        <v>471</v>
      </c>
      <c r="G13" s="849">
        <f>SUBTOTAL(9,G8:G12)</f>
        <v>480</v>
      </c>
      <c r="H13" s="850">
        <f>IF(ISNUMBER(G13/B13),G13/B13," - ")</f>
        <v>240</v>
      </c>
      <c r="I13" s="849">
        <f>SUBTOTAL(9,I8:I12)</f>
        <v>3509</v>
      </c>
      <c r="J13" s="850">
        <f>IF(ISNUMBER(I13/B13),I13/B13," - ")</f>
        <v>1754.5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1036</v>
      </c>
      <c r="D16" s="404">
        <f>IF(ISNUMBER(C16/Datos!BH16),C16/Datos!BH16," - ")</f>
        <v>518</v>
      </c>
      <c r="E16" s="403">
        <f>IF(ISNUMBER(IF(D_I="SI",Datos!J16,Datos!J16+Datos!AD16)),IF(D_I="SI",Datos!J16,Datos!J16+Datos!AD16)," - ")</f>
        <v>735</v>
      </c>
      <c r="F16" s="404">
        <f>IF(ISNUMBER(E16/B16),E16/B16," - ")</f>
        <v>367.5</v>
      </c>
      <c r="G16" s="403">
        <f>IF(ISNUMBER(IF(D_I="SI",Datos!K16,Datos!K16+Datos!AE16)),IF(D_I="SI",Datos!K16,Datos!K16+Datos!AE16)," - ")</f>
        <v>794</v>
      </c>
      <c r="H16" s="404">
        <f>IF(ISNUMBER(G16/B16),G16/B16," - ")</f>
        <v>397</v>
      </c>
      <c r="I16" s="403">
        <f>IF(ISNUMBER(IF(D_I="SI",Datos!L16,Datos!L16+Datos!AF16)),IF(D_I="SI",Datos!L16,Datos!L16+Datos!AF16)," - ")</f>
        <v>1018</v>
      </c>
      <c r="J16" s="404">
        <f>IF(ISNUMBER(I16/B16),I16/B16," - ")</f>
        <v>509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147</v>
      </c>
      <c r="D17" s="404">
        <f>IF(ISNUMBER(C17/Datos!BH17),C17/Datos!BH17," - ")</f>
        <v>147</v>
      </c>
      <c r="E17" s="403">
        <f>IF(ISNUMBER(IF(D_I="SI",Datos!J17,Datos!J17+Datos!AD17)),IF(D_I="SI",Datos!J17,Datos!J17+Datos!AD17)," - ")</f>
        <v>96</v>
      </c>
      <c r="F17" s="404">
        <f>IF(ISNUMBER(E17/B17),E17/B17," - ")</f>
        <v>96</v>
      </c>
      <c r="G17" s="403">
        <f>IF(ISNUMBER(IF(D_I="SI",Datos!K17,Datos!K17+Datos!AE17)),IF(D_I="SI",Datos!K17,Datos!K17+Datos!AE17)," - ")</f>
        <v>73</v>
      </c>
      <c r="H17" s="404">
        <f>IF(ISNUMBER(G17/B17),G17/B17," - ")</f>
        <v>73</v>
      </c>
      <c r="I17" s="403">
        <f>IF(ISNUMBER(IF(D_I="SI",Datos!L17,Datos!L17+Datos!AF17)),IF(D_I="SI",Datos!L17,Datos!L17+Datos!AF17)," - ")</f>
        <v>170</v>
      </c>
      <c r="J17" s="404">
        <f>IF(ISNUMBER(I17/B17),I17/B17," - ")</f>
        <v>170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1183</v>
      </c>
      <c r="D18" s="850" t="str">
        <f>IF(ISNUMBER(C18/Datos!BI18),C18/Datos!BI18," - ")</f>
        <v xml:space="preserve"> - </v>
      </c>
      <c r="E18" s="849">
        <f>SUBTOTAL(9,E14:E17)</f>
        <v>831</v>
      </c>
      <c r="F18" s="850">
        <f>IF(ISNUMBER(E18/B18),E18/B18," - ")</f>
        <v>415.5</v>
      </c>
      <c r="G18" s="849">
        <f>SUBTOTAL(9,G14:G17)</f>
        <v>867</v>
      </c>
      <c r="H18" s="850">
        <f>IF(ISNUMBER(G18/B18),G18/B18," - ")</f>
        <v>433.5</v>
      </c>
      <c r="I18" s="849">
        <f>SUBTOTAL(9,I14:I17)</f>
        <v>1188</v>
      </c>
      <c r="J18" s="850">
        <f>IF(ISNUMBER(I18/B18),I18/B18," - ")</f>
        <v>594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4230</v>
      </c>
      <c r="D19" s="795" t="str">
        <f>IF(ISNUMBER(C19/Datos!BI19),C19/Datos!BI19," - ")</f>
        <v xml:space="preserve"> - </v>
      </c>
      <c r="E19" s="794">
        <f>SUBTOTAL(9,E9:E18)</f>
        <v>1773</v>
      </c>
      <c r="F19" s="795">
        <f>IF(ISNUMBER(E19/B19),E19/B19," - ")</f>
        <v>886.5</v>
      </c>
      <c r="G19" s="794">
        <f>SUBTOTAL(9,G9:G18)</f>
        <v>1347</v>
      </c>
      <c r="H19" s="795">
        <f>IF(ISNUMBER(G19/B19),G19/B19," - ")</f>
        <v>673.5</v>
      </c>
      <c r="I19" s="794">
        <f>SUBTOTAL(9,I9:I18)</f>
        <v>4697</v>
      </c>
      <c r="J19" s="795">
        <f>IF(ISNUMBER(I19/B19),I19/B19," - ")</f>
        <v>2348.5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hOFhk4buV9IglWa51jW59ALk3CqDPZxxeD4g1wUW1bXAKA7IA0Wp+WKcMJPwQ6mEQtSjCMO2umrAriptJeqjg==" saltValue="rRhI27/L2DLHb2O6zSVT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OCAÑA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120</v>
      </c>
      <c r="AM12" s="690">
        <f>IF(ISNUMBER(Datos!N12+DatosP!N16),Datos!N12+DatosP!N16," - ")</f>
        <v>179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21.881250000000001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-0.32626325639426074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86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1132</v>
      </c>
      <c r="AE13" s="939">
        <f t="shared" si="1"/>
        <v>0</v>
      </c>
      <c r="AF13" s="939">
        <f t="shared" si="1"/>
        <v>8</v>
      </c>
      <c r="AG13" s="939">
        <f t="shared" si="1"/>
        <v>0</v>
      </c>
      <c r="AH13" s="939">
        <f t="shared" si="1"/>
        <v>2160</v>
      </c>
      <c r="AI13" s="939">
        <f t="shared" si="1"/>
        <v>0</v>
      </c>
      <c r="AJ13" s="939">
        <f t="shared" si="1"/>
        <v>0</v>
      </c>
      <c r="AK13" s="939">
        <f t="shared" si="1"/>
        <v>0</v>
      </c>
      <c r="AL13" s="939">
        <f t="shared" si="1"/>
        <v>120</v>
      </c>
      <c r="AM13" s="939">
        <f t="shared" si="1"/>
        <v>179</v>
      </c>
      <c r="AN13" s="939">
        <f t="shared" si="1"/>
        <v>0</v>
      </c>
      <c r="AO13" s="939">
        <f t="shared" si="1"/>
        <v>0</v>
      </c>
      <c r="AP13" s="944">
        <f>IF(ISNUMBER(((Datos!L13/Datos!K13)*11)/factor_trimestre),((Datos!L13/Datos!K13)*11)/factor_trimestre," - ")</f>
        <v>23.10884353741497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-0.32626325639426074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4.1107266435986158</v>
      </c>
      <c r="AQ18" s="944">
        <f>IF(ISNUMBER(((Datos!M18/Datos!L18)*11)/factor_trimestre),((Datos!M18/Datos!L18)*11)/factor_trimestre," - ")</f>
        <v>0.24747474747474749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9.3959731543624164E-2</v>
      </c>
      <c r="AW18" s="946">
        <f>IF(ISNUMBER((Datos!Q18-Datos!R18)/(Datos!S18-Datos!Q18+Datos!R18)),(Datos!Q18-Datos!R18)/(Datos!S18-Datos!Q18+Datos!R18)," - ")</f>
        <v>-0.13193116634799235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86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1132</v>
      </c>
      <c r="AE19" s="957">
        <f t="shared" si="5"/>
        <v>0</v>
      </c>
      <c r="AF19" s="958">
        <f t="shared" si="5"/>
        <v>8</v>
      </c>
      <c r="AG19" s="958">
        <f t="shared" si="5"/>
        <v>0</v>
      </c>
      <c r="AH19" s="958">
        <f t="shared" si="5"/>
        <v>2160</v>
      </c>
      <c r="AI19" s="958">
        <f t="shared" si="5"/>
        <v>0</v>
      </c>
      <c r="AJ19" s="959">
        <f t="shared" si="5"/>
        <v>0</v>
      </c>
      <c r="AK19" s="959">
        <f t="shared" si="5"/>
        <v>0</v>
      </c>
      <c r="AL19" s="951">
        <f t="shared" si="5"/>
        <v>120</v>
      </c>
      <c r="AM19" s="951">
        <f t="shared" si="5"/>
        <v>179</v>
      </c>
      <c r="AN19" s="951">
        <f t="shared" si="5"/>
        <v>0</v>
      </c>
      <c r="AO19" s="951">
        <f t="shared" si="5"/>
        <v>0</v>
      </c>
      <c r="AP19" s="951">
        <f>IF(ISNUMBER(((Datos!L19/Datos!K19)*11)/factor_trimestre),((Datos!L19/Datos!K19)*11)/factor_trimestre," - ")</f>
        <v>10.516055045871559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-0.30760059612518631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69.282032302755098</v>
      </c>
      <c r="AM21" s="736"/>
      <c r="AN21" s="736">
        <f>IF(ISNUMBER(STDEV(AN8:AN18)),STDEV(AN8:AN18),"-")</f>
        <v>0</v>
      </c>
      <c r="AO21" s="742">
        <f>IF(ISNUMBER(STDEV(AO8:AO18)),STDEV(AO8:AO18),"-")</f>
        <v>0</v>
      </c>
      <c r="AP21" s="779">
        <f>IF(ISNUMBER(STDEV(AP8:AP18)),STDEV(AP8:AP18),"-")</f>
        <v>10.631924659287707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2mnNM9FvfK9s4IlAY0lBrO9byNscjSb+HkZnraF2OUlWkhX3sfJl5zaXsoVmgaGczcdMYiRrJ9ub76ilDCpUAw==" saltValue="uE9y+WrhwOvR6g2tY5GYd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OCAÑA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XVGHNGdLi8lF6PSGTnETpleTlY3RVaUaAwHs2QBxtYPD3DIXoWCmoiNHQia612uyCCUAcKNj6kYehH8zRh5eCw==" saltValue="uDGFubb/RlUGVqsqyCiNc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OCAÑA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120</v>
      </c>
      <c r="E12" s="404">
        <f t="shared" si="0"/>
        <v>60</v>
      </c>
      <c r="F12" s="403">
        <f>IF(ISNUMBER(Datos!N12),Datos!N12," - ")</f>
        <v>179</v>
      </c>
      <c r="G12" s="404">
        <f t="shared" si="1"/>
        <v>89.5</v>
      </c>
      <c r="H12" s="403">
        <f>IF(ISNUMBER(Datos!O12),Datos!O12," - ")</f>
        <v>125</v>
      </c>
      <c r="I12" s="404">
        <f t="shared" si="2"/>
        <v>62.5</v>
      </c>
      <c r="BZ12" s="1186">
        <f>Datos!EZ12</f>
        <v>0</v>
      </c>
    </row>
    <row r="13" spans="1:78" ht="14.25" thickTop="1" thickBot="1">
      <c r="A13" s="848" t="str">
        <f>Datos!A13</f>
        <v>TOTAL</v>
      </c>
      <c r="B13" s="849">
        <f>Datos!AP13</f>
        <v>2</v>
      </c>
      <c r="C13" s="851">
        <f>Datos!AR13</f>
        <v>2</v>
      </c>
      <c r="D13" s="849">
        <f>SUBTOTAL(9,D9:D12)</f>
        <v>120</v>
      </c>
      <c r="E13" s="850">
        <f t="shared" si="0"/>
        <v>60</v>
      </c>
      <c r="F13" s="849">
        <f>SUBTOTAL(9,F9:F12)</f>
        <v>179</v>
      </c>
      <c r="G13" s="850">
        <f t="shared" si="1"/>
        <v>89.5</v>
      </c>
      <c r="H13" s="849">
        <f>SUBTOTAL(9,H9:H12)</f>
        <v>125</v>
      </c>
      <c r="I13" s="850">
        <f>IF(ISNUMBER(H13/B13),H13/B13," - ")</f>
        <v>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83</v>
      </c>
      <c r="E16" s="404">
        <f t="shared" si="3"/>
        <v>41.5</v>
      </c>
      <c r="F16" s="403">
        <f>IF(ISNUMBER(Datos!N16),Datos!N16," - ")</f>
        <v>517</v>
      </c>
      <c r="G16" s="404">
        <f t="shared" si="4"/>
        <v>258.5</v>
      </c>
      <c r="H16" s="403">
        <f>IF(ISNUMBER(Datos!O16),Datos!O16," - ")</f>
        <v>15</v>
      </c>
      <c r="I16" s="404">
        <f t="shared" si="5"/>
        <v>7.5</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36</v>
      </c>
      <c r="G17" s="404">
        <f>IF(ISNUMBER(F17/B17),F17/B17," - ")</f>
        <v>36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98</v>
      </c>
      <c r="E18" s="850">
        <f t="shared" si="3"/>
        <v>49</v>
      </c>
      <c r="F18" s="849">
        <f>SUBTOTAL(9,F15:F17)</f>
        <v>553</v>
      </c>
      <c r="G18" s="850">
        <f t="shared" si="4"/>
        <v>276.5</v>
      </c>
      <c r="H18" s="849">
        <f>SUBTOTAL(9,H15:H17)</f>
        <v>15</v>
      </c>
      <c r="I18" s="850">
        <f>IF(ISNUMBER(H18/B18),H18/B18," - ")</f>
        <v>7.5</v>
      </c>
      <c r="BZ18" s="1186"/>
    </row>
    <row r="19" spans="1:78" ht="14.25" thickTop="1" thickBot="1">
      <c r="A19" s="793" t="str">
        <f>Datos!A19</f>
        <v>TOTAL JURISDICCIONES</v>
      </c>
      <c r="B19" s="794">
        <f>Datos!AP19</f>
        <v>2</v>
      </c>
      <c r="C19" s="794">
        <f>Datos!AR19</f>
        <v>2</v>
      </c>
      <c r="D19" s="794">
        <f>SUBTOTAL(9,D8:D18)</f>
        <v>218</v>
      </c>
      <c r="E19" s="795">
        <f>IF(ISNUMBER(D19/B19),D19/B19," - ")</f>
        <v>109</v>
      </c>
      <c r="F19" s="794">
        <f>SUBTOTAL(9,F8:F18)</f>
        <v>732</v>
      </c>
      <c r="G19" s="795">
        <f>IF(ISNUMBER(F19/B19),F19/B19," - ")</f>
        <v>366</v>
      </c>
      <c r="H19" s="794">
        <f>SUBTOTAL(9,H8:H18)</f>
        <v>140</v>
      </c>
      <c r="I19" s="795">
        <f>IF(ISNUMBER(H19/B19),H19/B19," - ")</f>
        <v>70</v>
      </c>
    </row>
    <row r="22" spans="1:78">
      <c r="A22" s="391" t="str">
        <f>Criterios!A4</f>
        <v>Fecha Informe: 27 feb. 2025</v>
      </c>
    </row>
    <row r="27" spans="1:78">
      <c r="A27" s="414"/>
    </row>
  </sheetData>
  <sheetProtection algorithmName="SHA-512" hashValue="yIH+psM7ivN/HRLMt1Jo9OVPoAqIk5jCy5X8w1stSa8bRKJTMAKb/j7O7513CEOxgAHNqIC+PqsTosZPOnP5Mg==" saltValue="qku3jxwsjbmSiW3KeeYJ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OCAÑA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86</v>
      </c>
      <c r="C12" s="434">
        <f>IF(ISNUMBER(Datos!Q12),Datos!Q12," - ")</f>
        <v>1132</v>
      </c>
      <c r="D12" s="408">
        <f>IF(ISNUMBER(Datos!R12),Datos!R12," - ")</f>
        <v>2160</v>
      </c>
    </row>
    <row r="13" spans="1:4" ht="14.25" thickTop="1" thickBot="1">
      <c r="A13" s="848" t="str">
        <f>Datos!A13</f>
        <v>TOTAL</v>
      </c>
      <c r="B13" s="849">
        <f>SUBTOTAL(9,B9:B12)</f>
        <v>86</v>
      </c>
      <c r="C13" s="853">
        <f>SUBTOTAL(9,C9:C12)</f>
        <v>1132</v>
      </c>
      <c r="D13" s="851">
        <f>SUBTOTAL(9,D9:D12)</f>
        <v>2160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39</v>
      </c>
      <c r="C16" s="434">
        <f>IF(ISNUMBER(Datos!Q16),Datos!Q16," - ")</f>
        <v>25</v>
      </c>
      <c r="D16" s="408">
        <f>IF(ISNUMBER(Datos!R16),Datos!R16," - ")</f>
        <v>163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39</v>
      </c>
      <c r="C18" s="853">
        <f>SUBTOTAL(9,C15:C17)</f>
        <v>25</v>
      </c>
      <c r="D18" s="851">
        <f>SUBTOTAL(9,D15:D17)</f>
        <v>163</v>
      </c>
    </row>
    <row r="19" spans="1:4" ht="16.5" customHeight="1" thickTop="1" thickBot="1">
      <c r="A19" s="793" t="str">
        <f>Datos!A19</f>
        <v>TOTAL JURISDICCIONES</v>
      </c>
      <c r="B19" s="798">
        <f>SUBTOTAL(9,B8:B18)</f>
        <v>125</v>
      </c>
      <c r="C19" s="799">
        <f>SUBTOTAL(9,C8:C18)</f>
        <v>1157</v>
      </c>
      <c r="D19" s="800">
        <f>SUBTOTAL(9,D8:D18)</f>
        <v>2323</v>
      </c>
    </row>
    <row r="20" spans="1:4" ht="7.5" customHeight="1"/>
    <row r="21" spans="1:4" ht="6" customHeight="1"/>
    <row r="22" spans="1:4">
      <c r="A22" s="391" t="str">
        <f>Criterios!A4</f>
        <v>Fecha Informe: 27 feb. 2025</v>
      </c>
    </row>
    <row r="27" spans="1:4">
      <c r="A27" s="414"/>
    </row>
  </sheetData>
  <sheetProtection algorithmName="SHA-512" hashValue="M7MaVZxjdlB42l3NQrZiqOWNOJaQd+MsVkrFWY/Pg2Z8GNiEpv7dHWu1F0PjBJd/pxaJKS4dX5Msz5giokHViQ==" saltValue="RkFq8boiaMNQHWjy3eh91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OCAÑA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v>
      </c>
      <c r="C10" s="456">
        <f>IF(ISNUMBER((Datos!J10-Datos!T10)/Datos!T10),(Datos!J10-Datos!T10)/Datos!T10," - ")</f>
        <v>-0.33333333333333331</v>
      </c>
      <c r="D10" s="456">
        <f>IF(ISNUMBER((Datos!K10-Datos!U10)/Datos!U10),(Datos!K10-Datos!U10)/Datos!U10," - ")</f>
        <v>-1</v>
      </c>
      <c r="E10" s="456">
        <f>IF(ISNUMBER((Datos!L10-Datos!V10)/Datos!V10),(Datos!L10-Datos!V10)/Datos!V10," - ")</f>
        <v>7</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0.38542141230068339</v>
      </c>
      <c r="C12" s="456">
        <f>IF(ISNUMBER(
   IF(J_V="SI",(Datos!J12-Datos!T12)/Datos!T12,(Datos!J12+Datos!Z12-(Datos!T12+Datos!AH12))/(Datos!T12+Datos!AH12))
     ),IF(J_V="SI",(Datos!J12-Datos!T12)/Datos!T12,(Datos!J12+Datos!Z12-(Datos!T12+Datos!AH12))/(Datos!T12+Datos!AH12))," - ")</f>
        <v>-0.17326297273526825</v>
      </c>
      <c r="D12" s="456">
        <f>IF(ISNUMBER(
   IF(J_V="SI",(Datos!K12-Datos!U12)/Datos!U12,(Datos!K12+Datos!AA12-(Datos!U12+Datos!AI12))/(Datos!U12+Datos!AI12))
     ),IF(J_V="SI",(Datos!K12-Datos!U12)/Datos!U12,(Datos!K12+Datos!AA12-(Datos!U12+Datos!AI12))/(Datos!U12+Datos!AI12))," - ")</f>
        <v>9.0909090909090912E-2</v>
      </c>
      <c r="E12" s="456">
        <f>IF(ISNUMBER(
   IF(J_V="SI",(Datos!L12-Datos!V12)/Datos!V12,(Datos!L12+Datos!AB12-(Datos!V12+Datos!AJ12))/(Datos!V12+Datos!AJ12))
     ),IF(J_V="SI",(Datos!L12-Datos!V12)/Datos!V12,(Datos!L12+Datos!AB12-(Datos!V12+Datos!AJ12))/(Datos!V12+Datos!AJ12))," - ")</f>
        <v>0.21058091286307054</v>
      </c>
      <c r="F12" s="456">
        <f>IF(ISNUMBER((Datos!M12-Datos!W12)/Datos!W12),(Datos!M12-Datos!W12)/Datos!W12," - ")</f>
        <v>0.73913043478260865</v>
      </c>
      <c r="G12" s="457">
        <f>IF(ISNUMBER((Datos!N12-Datos!X12)/Datos!X12),(Datos!N12-Datos!X12)/Datos!X12," - ")</f>
        <v>0.34586466165413532</v>
      </c>
      <c r="H12" s="455">
        <f>IF(ISNUMBER(((NºAsuntos!G12/NºAsuntos!E12)-Datos!BD12)/Datos!BD12),((NºAsuntos!G12/NºAsuntos!E12)-Datos!BD12)/Datos!BD12," - ")</f>
        <v>0.31953578336557042</v>
      </c>
      <c r="I12" s="456">
        <f>IF(ISNUMBER(((NºAsuntos!I12/NºAsuntos!G12)-Datos!BE12)/Datos!BE12),((NºAsuntos!I12/NºAsuntos!G12)-Datos!BE12)/Datos!BE12," - ")</f>
        <v>0.10969917012448142</v>
      </c>
      <c r="J12" s="461">
        <f>IF(ISNUMBER((('Resol  Asuntos'!D12/NºAsuntos!G12)-Datos!BF12)/Datos!BF12),(('Resol  Asuntos'!D12/NºAsuntos!G12)-Datos!BF12)/Datos!BF12," - ")</f>
        <v>-0.1729323308270676</v>
      </c>
      <c r="K12" s="462">
        <f>IF(ISNUMBER((((NºAsuntos!C12+NºAsuntos!E12)/NºAsuntos!G12)-Datos!BG12)/Datos!BG12),(((NºAsuntos!C12+NºAsuntos!E12)/NºAsuntos!G12)-Datos!BG12)/Datos!BG12," - ")</f>
        <v>9.5213085234093608E-2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0.38185941043083899</v>
      </c>
      <c r="C13" s="855">
        <f>IF(ISNUMBER(
   IF(J_V="SI",(Datos!J13-Datos!T13)/Datos!T13,(Datos!J13+Datos!Z13-(Datos!T13+Datos!AH13))/(Datos!T13+Datos!AH13))
     ),IF(J_V="SI",(Datos!J13-Datos!T13)/Datos!T13,(Datos!J13+Datos!Z13-(Datos!T13+Datos!AH13))/(Datos!T13+Datos!AH13))," - ")</f>
        <v>-0.1736842105263158</v>
      </c>
      <c r="D13" s="855">
        <f>IF(ISNUMBER(
   IF(J_V="SI",(Datos!K13-Datos!U13)/Datos!U13,(Datos!K13+Datos!AA13-(Datos!U13+Datos!AI13))/(Datos!U13+Datos!AI13))
     ),IF(J_V="SI",(Datos!K13-Datos!U13)/Datos!U13,(Datos!K13+Datos!AA13-(Datos!U13+Datos!AI13))/(Datos!U13+Datos!AI13))," - ")</f>
        <v>6.1946902654867256E-2</v>
      </c>
      <c r="E13" s="855">
        <f>IF(ISNUMBER(
   IF(J_V="SI",(Datos!L13-Datos!V13)/Datos!V13,(Datos!L13+Datos!AB13-(Datos!V13+Datos!AJ13))/(Datos!V13+Datos!AJ13))
     ),IF(J_V="SI",(Datos!L13-Datos!V13)/Datos!V13,(Datos!L13+Datos!AB13-(Datos!V13+Datos!AJ13))/(Datos!V13+Datos!AJ13))," - ")</f>
        <v>0.21292775665399238</v>
      </c>
      <c r="F13" s="856">
        <f>IF(ISNUMBER((Datos!M13-Datos!W13)/Datos!W13),(Datos!M13-Datos!W13)/Datos!W13," - ")</f>
        <v>0.66666666666666663</v>
      </c>
      <c r="G13" s="857">
        <f>IF(ISNUMBER((Datos!N13-Datos!X13)/Datos!X13),(Datos!N13-Datos!X13)/Datos!X13," - ")</f>
        <v>0.34586466165413532</v>
      </c>
      <c r="H13" s="857">
        <f>IF(ISNUMBER(((NºAsuntos!G13/NºAsuntos!E13)-Datos!BD13)/Datos!BD13),((NºAsuntos!G13/NºAsuntos!E13)-Datos!BD13)/Datos!BD13," - ")</f>
        <v>0.28515867200270556</v>
      </c>
      <c r="I13" s="857">
        <f>IF(ISNUMBER(((NºAsuntos!I13/NºAsuntos!G13)-Datos!BE13)/Datos!BE13),((NºAsuntos!I13/NºAsuntos!G13)-Datos!BE13)/Datos!BE13," - ")</f>
        <v>0.14217363751584294</v>
      </c>
      <c r="J13" s="857">
        <f>IF(ISNUMBER((('Resol  Asuntos'!D13/NºAsuntos!G13)-Datos!BF13)/Datos!BF13),(('Resol  Asuntos'!D13/NºAsuntos!G13)-Datos!BF13)/Datos!BF13," - ")</f>
        <v>-0.16911764705882359</v>
      </c>
      <c r="K13" s="857">
        <f>IF(ISNUMBER((((NºAsuntos!C13+NºAsuntos!E13)/NºAsuntos!G13)-Datos!BG13)/Datos!BG13),(((NºAsuntos!C13+NºAsuntos!E13)/NºAsuntos!G13)-Datos!BG13)/Datos!BG13," - ")</f>
        <v>0.12296213253612365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0.26805385556915545</v>
      </c>
      <c r="C16" s="456">
        <f>IF(ISNUMBER(
   IF(D_I="SI",(Datos!J16-Datos!T16)/Datos!T16,(Datos!J16+Datos!AD16-(Datos!T16+Datos!AL16))/(Datos!T16+Datos!AL16))
     ),IF(D_I="SI",(Datos!J16-Datos!T16)/Datos!T16,(Datos!J16+Datos!AD16-(Datos!T16+Datos!AL16))/(Datos!T16+Datos!AL16))," - ")</f>
        <v>8.4070796460176997E-2</v>
      </c>
      <c r="D16" s="456">
        <f>IF(ISNUMBER(
   IF(D_I="SI",(Datos!K16-Datos!U16)/Datos!U16,(Datos!K16+Datos!AE16-(Datos!U16+Datos!AM16))/(Datos!U16+Datos!AM16))
     ),IF(D_I="SI",(Datos!K16-Datos!U16)/Datos!U16,(Datos!K16+Datos!AE16-(Datos!U16+Datos!AM16))/(Datos!U16+Datos!AM16))," - ")</f>
        <v>0.28271405492730212</v>
      </c>
      <c r="E16" s="456">
        <f>IF(ISNUMBER(
   IF(D_I="SI",(Datos!L16-Datos!V16)/Datos!V16,(Datos!L16+Datos!AF16-(Datos!V16+Datos!AN16))/(Datos!V16+Datos!AN16))
     ),IF(D_I="SI",(Datos!L16-Datos!V16)/Datos!V16,(Datos!L16+Datos!AF16-(Datos!V16+Datos!AN16))/(Datos!V16+Datos!AN16))," - ")</f>
        <v>0.15288788221970556</v>
      </c>
      <c r="F16" s="456">
        <f>IF(ISNUMBER((Datos!M16-Datos!W16)/Datos!W16),(Datos!M16-Datos!W16)/Datos!W16," - ")</f>
        <v>0.50909090909090904</v>
      </c>
      <c r="G16" s="457">
        <f>IF(ISNUMBER((Datos!N16-Datos!X16)/Datos!X16),(Datos!N16-Datos!X16)/Datos!X16," - ")</f>
        <v>0.53412462908011871</v>
      </c>
      <c r="H16" s="455">
        <f>IF(ISNUMBER(((NºAsuntos!G16/NºAsuntos!E16)-Datos!BD16)/Datos!BD16),((NºAsuntos!G16/NºAsuntos!E16)-Datos!BD16)/Datos!BD16," - ")</f>
        <v>0.18323827107579699</v>
      </c>
      <c r="I16" s="456">
        <f>IF(ISNUMBER(((NºAsuntos!I16/NºAsuntos!G16)-Datos!BE16)/Datos!BE16),((NºAsuntos!I16/NºAsuntos!G16)-Datos!BE16)/Datos!BE16," - ")</f>
        <v>-0.10121209182116156</v>
      </c>
      <c r="J16" s="461">
        <f>IF(ISNUMBER((('Resol  Asuntos'!D16/NºAsuntos!G16)-Datos!BF16)/Datos!BF16),(('Resol  Asuntos'!D16/NºAsuntos!G16)-Datos!BF16)/Datos!BF16," - ")</f>
        <v>0.1764827112434165</v>
      </c>
      <c r="K16" s="462">
        <f>IF(ISNUMBER((((NºAsuntos!C16+NºAsuntos!E16)/NºAsuntos!G16)-Datos!BG16)/Datos!BG16),(((NºAsuntos!C16+NºAsuntos!E16)/NºAsuntos!G16)-Datos!BG16)/Datos!BG16," - ")</f>
        <v>-7.6477426855260502E-2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0.61538461538461542</v>
      </c>
      <c r="C17" s="456">
        <f>IF(ISNUMBER(
   IF(D_I="SI",(Datos!J17-Datos!T17)/Datos!T17,(Datos!J17+Datos!AD17-(Datos!T17+Datos!AL17))/(Datos!T17+Datos!AL17))
     ),IF(D_I="SI",(Datos!J17-Datos!T17)/Datos!T17,(Datos!J17+Datos!AD17-(Datos!T17+Datos!AL17))/(Datos!T17+Datos!AL17))," - ")</f>
        <v>3</v>
      </c>
      <c r="D17" s="456">
        <f>IF(ISNUMBER(
   IF(D_I="SI",(Datos!K17-Datos!U17)/Datos!U17,(Datos!K17+Datos!AE17-(Datos!U17+Datos!AM17))/(Datos!U17+Datos!AM17))
     ),IF(D_I="SI",(Datos!K17-Datos!U17)/Datos!U17,(Datos!K17+Datos!AE17-(Datos!U17+Datos!AM17))/(Datos!U17+Datos!AM17))," - ")</f>
        <v>2.1739130434782608</v>
      </c>
      <c r="E17" s="456">
        <f>IF(ISNUMBER(
   IF(D_I="SI",(Datos!L17-Datos!V17)/Datos!V17,(Datos!L17+Datos!AF17-(Datos!V17+Datos!AN17))/(Datos!V17+Datos!AN17))
     ),IF(D_I="SI",(Datos!L17-Datos!V17)/Datos!V17,(Datos!L17+Datos!AF17-(Datos!V17+Datos!AN17))/(Datos!V17+Datos!AN17))," - ")</f>
        <v>0.84782608695652173</v>
      </c>
      <c r="F17" s="456">
        <f>IF(ISNUMBER((Datos!M17-Datos!W17)/Datos!W17),(Datos!M17-Datos!W17)/Datos!W17," - ")</f>
        <v>7.1428571428571425E-2</v>
      </c>
      <c r="G17" s="457">
        <f>IF(ISNUMBER((Datos!N17-Datos!X17)/Datos!X17),(Datos!N17-Datos!X17)/Datos!X17," - ")</f>
        <v>1.1176470588235294</v>
      </c>
      <c r="H17" s="455">
        <f>IF(ISNUMBER(((NºAsuntos!G17/NºAsuntos!E17)-Datos!BD17)/Datos!BD17),((NºAsuntos!G17/NºAsuntos!E17)-Datos!BD17)/Datos!BD17," - ")</f>
        <v>-0.20652173913043484</v>
      </c>
      <c r="I17" s="456">
        <f>IF(ISNUMBER(((NºAsuntos!I17/NºAsuntos!G17)-Datos!BE17)/Datos!BE17),((NºAsuntos!I17/NºAsuntos!G17)-Datos!BE17)/Datos!BE17," - ")</f>
        <v>-0.4178082191780822</v>
      </c>
      <c r="J17" s="461">
        <f>IF(ISNUMBER((('Resol  Asuntos'!D17/NºAsuntos!G17)-Datos!BF17)/Datos!BF17),(('Resol  Asuntos'!D17/NºAsuntos!G17)-Datos!BF17)/Datos!BF17," - ")</f>
        <v>-0.66242661448140905</v>
      </c>
      <c r="K17" s="462">
        <f>IF(ISNUMBER((((NºAsuntos!C17+NºAsuntos!E17)/NºAsuntos!G17)-Datos!BG17)/Datos!BG17),(((NºAsuntos!C17+NºAsuntos!E17)/NºAsuntos!G17)-Datos!BG17)/Datos!BG17," - ")</f>
        <v>-0.33424657534246577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0.30286343612334804</v>
      </c>
      <c r="C18" s="855">
        <f>IF(ISNUMBER(
   IF(Criterios!B14="SI",(Datos!J18-Datos!T18)/Datos!T18,(Datos!J18+Datos!AD18-(Datos!T18+Datos!AL18))/(Datos!T18+Datos!AL18))
     ),IF(Criterios!B14="SI",(Datos!J18-Datos!T18)/Datos!T18,(Datos!J18+Datos!AD18-(Datos!T18+Datos!AL18))/(Datos!T18+Datos!AL18))," - ")</f>
        <v>0.18376068376068377</v>
      </c>
      <c r="D18" s="855">
        <f>IF(ISNUMBER(
   IF(Criterios!B14="SI",(Datos!K18-Datos!U18)/Datos!U18,(Datos!K18+Datos!AE18-(Datos!U18+Datos!AM18))/(Datos!U18+Datos!AM18))
     ),IF(Criterios!B14="SI",(Datos!K18-Datos!U18)/Datos!U18,(Datos!K18+Datos!AE18-(Datos!U18+Datos!AM18))/(Datos!U18+Datos!AM18))," - ")</f>
        <v>0.35046728971962615</v>
      </c>
      <c r="E18" s="855">
        <f>IF(ISNUMBER(
   IF(Criterios!B14="SI",(Datos!L18-Datos!V18)/Datos!V18,(Datos!L18+Datos!AF18-(Datos!V18+Datos!AN18))/(Datos!V18+Datos!AN18))
     ),IF(Criterios!B14="SI",(Datos!L18-Datos!V18)/Datos!V18,(Datos!L18+Datos!AF18-(Datos!V18+Datos!AN18))/(Datos!V18+Datos!AN18))," - ")</f>
        <v>0.21846153846153846</v>
      </c>
      <c r="F18" s="856">
        <f>IF(ISNUMBER((Datos!M18-Datos!W18)/Datos!W18),(Datos!M18-Datos!W18)/Datos!W18," - ")</f>
        <v>0.42028985507246375</v>
      </c>
      <c r="G18" s="857">
        <f>IF(ISNUMBER((Datos!N18-Datos!X18)/Datos!X18),(Datos!N18-Datos!X18)/Datos!X18," - ")</f>
        <v>0.56214689265536721</v>
      </c>
      <c r="H18" s="857">
        <f>IF(ISNUMBER(((NºAsuntos!G18/NºAsuntos!E18)-Datos!BD18)/Datos!BD18),((NºAsuntos!G18/NºAsuntos!E18)-Datos!BD18)/Datos!BD18," - ")</f>
        <v>0.14082796315665169</v>
      </c>
      <c r="I18" s="857">
        <f>IF(ISNUMBER(((NºAsuntos!I18/NºAsuntos!G18)-Datos!BE18)/Datos!BE18),((NºAsuntos!I18/NºAsuntos!G18)-Datos!BE18)/Datos!BE18," - ")</f>
        <v>-9.7748203353739752E-2</v>
      </c>
      <c r="J18" s="857">
        <f>IF(ISNUMBER((('Resol  Asuntos'!D18/NºAsuntos!G18)-Datos!BF18)/Datos!BF18),(('Resol  Asuntos'!D18/NºAsuntos!G18)-Datos!BF18)/Datos!BF18," - ")</f>
        <v>5.1702522441201576E-2</v>
      </c>
      <c r="K18" s="857">
        <f>IF(ISNUMBER((((NºAsuntos!C18+NºAsuntos!E18)/NºAsuntos!G18)-Datos!BG18)/Datos!BG18),(((NºAsuntos!C18+NºAsuntos!E18)/NºAsuntos!G18)-Datos!BG18)/Datos!BG18," - ")</f>
        <v>-7.3704571342603512E-2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0.35881786058464504</v>
      </c>
      <c r="C19" s="802">
        <f>IF(ISNUMBER(
   IF(J_V="SI",(Datos!J19-Datos!T19)/Datos!T19,(Datos!J19+Datos!Z19-(Datos!T19+Datos!AH19))/(Datos!T19+Datos!AH19))
     ),IF(J_V="SI",(Datos!J19-Datos!T19)/Datos!T19,(Datos!J19+Datos!Z19-(Datos!T19+Datos!AH19))/(Datos!T19+Datos!AH19))," - ")</f>
        <v>-3.7459283387622153E-2</v>
      </c>
      <c r="D19" s="802">
        <f>IF(ISNUMBER(
   IF(J_V="SI",(Datos!K19-Datos!U19)/Datos!U19,(Datos!K19+Datos!AA19-(Datos!U19+Datos!AI19))/(Datos!U19+Datos!AI19))
     ),IF(J_V="SI",(Datos!K19-Datos!U19)/Datos!U19,(Datos!K19+Datos!AA19-(Datos!U19+Datos!AI19))/(Datos!U19+Datos!AI19))," - ")</f>
        <v>0.23126142595978061</v>
      </c>
      <c r="E19" s="802">
        <f>IF(ISNUMBER(
   IF(J_V="SI",(Datos!L19-Datos!V19)/Datos!V19,(Datos!L19+Datos!AB19-(Datos!V19+Datos!AJ19))/(Datos!V19+Datos!AJ19))
     ),IF(J_V="SI",(Datos!L19-Datos!V19)/Datos!V19,(Datos!L19+Datos!AB19-(Datos!V19+Datos!AJ19))/(Datos!V19+Datos!AJ19))," - ")</f>
        <v>0.21432264736297829</v>
      </c>
      <c r="F19" s="803">
        <f>IF(ISNUMBER((Datos!M19-Datos!W19)/Datos!W19),(Datos!M19-Datos!W19)/Datos!W19," - ")</f>
        <v>0.54609929078014185</v>
      </c>
      <c r="G19" s="804">
        <f>IF(ISNUMBER((Datos!N19-Datos!X19)/Datos!X19),(Datos!N19-Datos!X19)/Datos!X19," - ")</f>
        <v>0.50308008213552358</v>
      </c>
      <c r="H19" s="805">
        <f>IF(ISNUMBER((Tasas!B19-Datos!BD19)/Datos!BD19),(Tasas!B19-Datos!BD19)/Datos!BD19," - ")</f>
        <v>0.27917853729154862</v>
      </c>
      <c r="I19" s="806">
        <f>IF(ISNUMBER((Tasas!C19-Datos!BE19)/Datos!BE19),(Tasas!C19-Datos!BE19)/Datos!BE19," - ")</f>
        <v>-1.375725596503471E-2</v>
      </c>
      <c r="J19" s="807">
        <f>IF(ISNUMBER((Tasas!D19-Datos!BF19)/Datos!BF19),(Tasas!D19-Datos!BF19)/Datos!BF19," - ")</f>
        <v>-0.13632100240824227</v>
      </c>
      <c r="K19" s="807">
        <f>IF(ISNUMBER((Tasas!E19-Datos!BG19)/Datos!BG19),(Tasas!E19-Datos!BG19)/Datos!BG19," - ")</f>
        <v>-1.6046871734249728E-2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SteQgaBFbUv5TnRWuFJH+qBHt2BfYkjoyvSrw0PCnTkKFO0ph5QaISQFtQ65K97sJ+ShQ43GhEBFbF+YugGoQ==" saltValue="qQoV/GrRJ8y5+QHBNjeDf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OCAÑA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0.51063829787234039</v>
      </c>
      <c r="C12" s="443">
        <f>IF(ISNUMBER(NºAsuntos!I12/NºAsuntos!G12),NºAsuntos!I12/NºAsuntos!G12," - ")</f>
        <v>7.2937500000000002</v>
      </c>
      <c r="D12" s="444">
        <f>IF(ISNUMBER('Resol  Asuntos'!D12/NºAsuntos!G12),'Resol  Asuntos'!D12/NºAsuntos!G12," - ")</f>
        <v>0.25</v>
      </c>
      <c r="E12" s="445">
        <f>IF(ISNUMBER((NºAsuntos!C12+NºAsuntos!E12)/NºAsuntos!G12),(NºAsuntos!C12+NºAsuntos!E12)/NºAsuntos!G12," - ")</f>
        <v>8.2937499999999993</v>
      </c>
      <c r="G12" s="463"/>
    </row>
    <row r="13" spans="1:7" ht="14.25" thickTop="1" thickBot="1">
      <c r="A13" s="848" t="str">
        <f>Datos!A13</f>
        <v>TOTAL</v>
      </c>
      <c r="B13" s="858">
        <f>IF(ISNUMBER(NºAsuntos!G13/NºAsuntos!E13),NºAsuntos!G13/NºAsuntos!E13," - ")</f>
        <v>0.50955414012738853</v>
      </c>
      <c r="C13" s="859">
        <f>IF(ISNUMBER(NºAsuntos!I13/NºAsuntos!G13),NºAsuntos!I13/NºAsuntos!G13," - ")</f>
        <v>7.3104166666666668</v>
      </c>
      <c r="D13" s="860">
        <f>IF(ISNUMBER('Resol  Asuntos'!D13/NºAsuntos!G13),'Resol  Asuntos'!D13/NºAsuntos!G13," - ")</f>
        <v>0.25</v>
      </c>
      <c r="E13" s="861">
        <f>IF(ISNUMBER((NºAsuntos!C13+NºAsuntos!E13)/NºAsuntos!G13),(NºAsuntos!C13+NºAsuntos!E13)/NºAsuntos!G13," - ")</f>
        <v>8.3104166666666668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1.0802721088435374</v>
      </c>
      <c r="C16" s="443">
        <f>IF(ISNUMBER(NºAsuntos!I16/NºAsuntos!G16),NºAsuntos!I16/NºAsuntos!G16," - ")</f>
        <v>1.2821158690176322</v>
      </c>
      <c r="D16" s="444">
        <f>IF(ISNUMBER('Resol  Asuntos'!D16/NºAsuntos!G16),'Resol  Asuntos'!D16/NºAsuntos!G16," - ")</f>
        <v>0.10453400503778337</v>
      </c>
      <c r="E16" s="445">
        <f>IF(ISNUMBER((NºAsuntos!C16+NºAsuntos!E16)/NºAsuntos!G16),(NºAsuntos!C16+NºAsuntos!E16)/NºAsuntos!G16," - ")</f>
        <v>2.2304785894206551</v>
      </c>
      <c r="G16" s="463"/>
    </row>
    <row r="17" spans="1:7" ht="13.5" thickBot="1">
      <c r="A17" s="402" t="str">
        <f>Datos!A17</f>
        <v>Jdos. Violencia contra la mujer</v>
      </c>
      <c r="B17" s="442">
        <f>IF(ISNUMBER(NºAsuntos!G17/NºAsuntos!E17),NºAsuntos!G17/NºAsuntos!E17," - ")</f>
        <v>0.76041666666666663</v>
      </c>
      <c r="C17" s="443">
        <f>IF(ISNUMBER(NºAsuntos!I17/NºAsuntos!G17),NºAsuntos!I17/NºAsuntos!G17," - ")</f>
        <v>2.3287671232876712</v>
      </c>
      <c r="D17" s="444">
        <f>IF(ISNUMBER('Resol  Asuntos'!D17/NºAsuntos!G17),'Resol  Asuntos'!D17/NºAsuntos!G17," - ")</f>
        <v>0.20547945205479451</v>
      </c>
      <c r="E17" s="445">
        <f>IF(ISNUMBER((NºAsuntos!C17+NºAsuntos!E17)/NºAsuntos!G17),(NºAsuntos!C17+NºAsuntos!E17)/NºAsuntos!G17," - ")</f>
        <v>3.3287671232876712</v>
      </c>
      <c r="G17" s="463"/>
    </row>
    <row r="18" spans="1:7" ht="14.25" thickTop="1" thickBot="1">
      <c r="A18" s="848" t="str">
        <f>Datos!A18</f>
        <v>TOTAL</v>
      </c>
      <c r="B18" s="858">
        <f>IF(ISNUMBER(NºAsuntos!G18/NºAsuntos!E18),NºAsuntos!G18/NºAsuntos!E18," - ")</f>
        <v>1.0433212996389891</v>
      </c>
      <c r="C18" s="859">
        <f>IF(ISNUMBER(NºAsuntos!I18/NºAsuntos!G18),NºAsuntos!I18/NºAsuntos!G18," - ")</f>
        <v>1.3702422145328719</v>
      </c>
      <c r="D18" s="862">
        <f>IF(ISNUMBER('Resol  Asuntos'!D18/NºAsuntos!G18),'Resol  Asuntos'!D18/NºAsuntos!G18," - ")</f>
        <v>0.11303344867358708</v>
      </c>
      <c r="E18" s="861">
        <f>IF(ISNUMBER((NºAsuntos!C18+NºAsuntos!E18)/NºAsuntos!G18),(NºAsuntos!C18+NºAsuntos!E18)/NºAsuntos!G18," - ")</f>
        <v>2.3229527104959633</v>
      </c>
      <c r="G18" s="463"/>
    </row>
    <row r="19" spans="1:7" ht="15.75" customHeight="1" thickTop="1" thickBot="1">
      <c r="A19" s="793" t="str">
        <f>Datos!A19</f>
        <v>TOTAL JURISDICCIONES</v>
      </c>
      <c r="B19" s="808">
        <f>IF(ISNUMBER(NºAsuntos!G19/NºAsuntos!E19),NºAsuntos!G19/NºAsuntos!E19," - ")</f>
        <v>0.75972927241962773</v>
      </c>
      <c r="C19" s="809">
        <f>IF(ISNUMBER(NºAsuntos!I19/NºAsuntos!G19),NºAsuntos!I19/NºAsuntos!G19," - ")</f>
        <v>3.4870081662954715</v>
      </c>
      <c r="D19" s="810">
        <f>IF(ISNUMBER('Resol  Asuntos'!D19/NºAsuntos!G19),'Resol  Asuntos'!D19/NºAsuntos!G19," - ")</f>
        <v>0.16184112843355605</v>
      </c>
      <c r="E19" s="811">
        <f>IF(ISNUMBER((NºAsuntos!C19+NºAsuntos!E19)/NºAsuntos!G19),(NºAsuntos!C19+NºAsuntos!E19)/NºAsuntos!G19," - ")</f>
        <v>4.4565701559020043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Qpwenipg9KvkF1OwMIkkgrfJOp+7Ul7d0hvn2mpWtYhI+otc98IYq/2B18RtmuiwdvMp1VbGEv8KYX1+hHvQ==" saltValue="vpdhds1ZDbArzEq2zKSGr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OCAÑA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8</v>
      </c>
      <c r="AB10" s="334">
        <f>IF(ISNUMBER(Datos!R10),Datos!R10," - ")</f>
        <v>0</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1132</v>
      </c>
      <c r="Y12" s="334">
        <f t="shared" si="0"/>
        <v>1132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120</v>
      </c>
      <c r="AJ12" s="229" t="str">
        <f>IF(ISNUMBER(Datos!BW12),Datos!BW12," - ")</f>
        <v xml:space="preserve"> - </v>
      </c>
      <c r="AK12" s="228" t="str">
        <f>IF(ISNUMBER(Datos!BX12),Datos!BX12," - ")</f>
        <v xml:space="preserve"> - </v>
      </c>
      <c r="AL12" s="243">
        <f>IF(ISNUMBER(NºAsuntos!G12/NºAsuntos!E12),NºAsuntos!G12/NºAsuntos!E12," - ")</f>
        <v>0.51063829787234039</v>
      </c>
      <c r="AM12" s="260">
        <f>IF(ISNUMBER(((NºAsuntos!I12/NºAsuntos!G12)*11)/factor_trimestre),((NºAsuntos!I12/NºAsuntos!G12)*11)/factor_trimestre," - ")</f>
        <v>21.881250000000001</v>
      </c>
      <c r="AN12" s="244">
        <f>IF(ISNUMBER('Resol  Asuntos'!D12/NºAsuntos!G12),'Resol  Asuntos'!D12/NºAsuntos!G12," - ")</f>
        <v>0.25</v>
      </c>
      <c r="AO12" s="245">
        <f>IF(ISNUMBER((NºAsuntos!C12+NºAsuntos!E12)/NºAsuntos!G12),(NºAsuntos!C12+NºAsuntos!E12)/NºAsuntos!G12," - ")</f>
        <v>8.2937499999999993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86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1132</v>
      </c>
      <c r="Y13" s="868">
        <f t="shared" si="4"/>
        <v>1132</v>
      </c>
      <c r="Z13" s="868">
        <f t="shared" si="4"/>
        <v>0</v>
      </c>
      <c r="AA13" s="868">
        <f t="shared" si="4"/>
        <v>8</v>
      </c>
      <c r="AB13" s="868">
        <f t="shared" si="4"/>
        <v>2160</v>
      </c>
      <c r="AC13" s="868">
        <f t="shared" si="4"/>
        <v>8</v>
      </c>
      <c r="AD13" s="868">
        <f t="shared" si="4"/>
        <v>0</v>
      </c>
      <c r="AE13" s="872">
        <f t="shared" si="4"/>
        <v>0</v>
      </c>
      <c r="AF13" s="865">
        <f t="shared" si="4"/>
        <v>0</v>
      </c>
      <c r="AG13" s="873">
        <f t="shared" si="4"/>
        <v>0</v>
      </c>
      <c r="AH13" s="870">
        <f t="shared" si="4"/>
        <v>0</v>
      </c>
      <c r="AI13" s="865">
        <f t="shared" si="4"/>
        <v>120</v>
      </c>
      <c r="AJ13" s="867">
        <f t="shared" si="4"/>
        <v>0</v>
      </c>
      <c r="AK13" s="870">
        <f>SUBTOTAL(9,AK9:AK12)</f>
        <v>0</v>
      </c>
      <c r="AL13" s="874">
        <f>IF(ISNUMBER(NºAsuntos!G13/NºAsuntos!E13),NºAsuntos!G13/NºAsuntos!E13," - ")</f>
        <v>0.50955414012738853</v>
      </c>
      <c r="AM13" s="874">
        <f>IF(ISNUMBER(((NºAsuntos!I13/NºAsuntos!G13)*11)/factor_trimestre),((NºAsuntos!I13/NºAsuntos!G13)*11)/factor_trimestre," - ")</f>
        <v>21.931250000000002</v>
      </c>
      <c r="AN13" s="875">
        <f>IF(ISNUMBER('Resol  Asuntos'!D13/NºAsuntos!G13),'Resol  Asuntos'!D13/NºAsuntos!G13," - ")</f>
        <v>0.25</v>
      </c>
      <c r="AO13" s="876">
        <f>IF(ISNUMBER((NºAsuntos!C13+NºAsuntos!E13)/NºAsuntos!G13),(NºAsuntos!C13+NºAsuntos!E13)/NºAsuntos!G13," - ")</f>
        <v>8.3104166666666668</v>
      </c>
      <c r="AP13" s="877" t="str">
        <f t="shared" si="2"/>
        <v xml:space="preserve"> - </v>
      </c>
      <c r="AQ13" s="877">
        <f>IF(ISNUMBER((H13-W13+K13)/(F13)),(H13-W13+K13)/(F13)," - ")</f>
        <v>0</v>
      </c>
      <c r="AR13" s="878">
        <f>IF(ISNUMBER((Datos!P13-Datos!Q13)/(Datos!R13-Datos!P13+Datos!Q13)),(Datos!P13-Datos!Q13)/(Datos!R13-Datos!P13+Datos!Q13)," - ")</f>
        <v>-0.32626325639426074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1077</v>
      </c>
      <c r="G16" s="333">
        <f>IF(ISNUMBER(IF(D_I="SI",Datos!I16,Datos!I16+Datos!AC16)),IF(D_I="SI",Datos!I16,Datos!I16+Datos!AC16)," - ")</f>
        <v>1036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794</v>
      </c>
      <c r="X16" s="226">
        <f>IF(ISNUMBER(Datos!Q16),Datos!Q16," - ")</f>
        <v>25</v>
      </c>
      <c r="Y16" s="334">
        <f t="shared" ref="Y16:Y17" si="7">SUM(W16:X16)</f>
        <v>819</v>
      </c>
      <c r="Z16" s="335" t="str">
        <f>IF(ISNUMBER(Datos!CC16),Datos!CC16," - ")</f>
        <v xml:space="preserve"> - </v>
      </c>
      <c r="AA16" s="332">
        <f>IF(ISNUMBER(IF(D_I="SI",Datos!L16,Datos!L16+Datos!AF16)),IF(D_I="SI",Datos!L16,Datos!L16+Datos!AF16)," - ")</f>
        <v>1018</v>
      </c>
      <c r="AB16" s="334">
        <f>IF(ISNUMBER(Datos!R16),Datos!R16," - ")</f>
        <v>163</v>
      </c>
      <c r="AC16" s="334">
        <f t="shared" si="6"/>
        <v>1181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83</v>
      </c>
      <c r="AJ16" s="231" t="str">
        <f>IF(ISNUMBER(Datos!BW16),Datos!BW16," - ")</f>
        <v xml:space="preserve"> - </v>
      </c>
      <c r="AK16" s="232" t="str">
        <f>IF(ISNUMBER(Datos!BX16),Datos!BX16," - ")</f>
        <v xml:space="preserve"> - </v>
      </c>
      <c r="AL16" s="243">
        <f>IF(ISNUMBER(NºAsuntos!G16/NºAsuntos!E16),NºAsuntos!G16/NºAsuntos!E16," - ")</f>
        <v>1.0802721088435374</v>
      </c>
      <c r="AM16" s="260">
        <f>IF(ISNUMBER(((NºAsuntos!I16/NºAsuntos!G16)*11)/factor_trimestre),((NºAsuntos!I16/NºAsuntos!G16)*11)/factor_trimestre," - ")</f>
        <v>3.8463476070528966</v>
      </c>
      <c r="AN16" s="244">
        <f>IF(ISNUMBER('Resol  Asuntos'!D16/NºAsuntos!G16),'Resol  Asuntos'!D16/NºAsuntos!G16," - ")</f>
        <v>0.10453400503778337</v>
      </c>
      <c r="AO16" s="245">
        <f>IF(ISNUMBER((NºAsuntos!C16+NºAsuntos!E16)/NºAsuntos!G16),(NºAsuntos!C16+NºAsuntos!E16)/NºAsuntos!G16," - ")</f>
        <v>2.2304785894206551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73</v>
      </c>
      <c r="X17" s="226">
        <f>IF(ISNUMBER(Datos!Q17),Datos!Q17," - ")</f>
        <v>0</v>
      </c>
      <c r="Y17" s="334">
        <f t="shared" si="7"/>
        <v>73</v>
      </c>
      <c r="Z17" s="335" t="str">
        <f>IF(ISNUMBER(Datos!CC17),Datos!CC17," - ")</f>
        <v xml:space="preserve"> - </v>
      </c>
      <c r="AA17" s="332">
        <f>IF(ISNUMBER(Datos!L17),Datos!L17,"-")</f>
        <v>170</v>
      </c>
      <c r="AB17" s="334">
        <f>IF(ISNUMBER(Datos!R17),Datos!R17," - ")</f>
        <v>0</v>
      </c>
      <c r="AC17" s="334">
        <f t="shared" si="6"/>
        <v>170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0.76041666666666663</v>
      </c>
      <c r="AM17" s="260">
        <f>IF(ISNUMBER(((NºAsuntos!I17/NºAsuntos!G17)*11)/factor_trimestre),((NºAsuntos!I17/NºAsuntos!G17)*11)/factor_trimestre," - ")</f>
        <v>6.9863013698630141</v>
      </c>
      <c r="AN17" s="244">
        <f>IF(ISNUMBER('Resol  Asuntos'!D17/NºAsuntos!G17),'Resol  Asuntos'!D17/NºAsuntos!G17," - ")</f>
        <v>0.20547945205479451</v>
      </c>
      <c r="AO17" s="245">
        <f>IF(ISNUMBER((NºAsuntos!C17+NºAsuntos!E17)/NºAsuntos!G17),(NºAsuntos!C17+NºAsuntos!E17)/NºAsuntos!G17," - ")</f>
        <v>3.3287671232876712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1077</v>
      </c>
      <c r="G18" s="866">
        <f>SUBTOTAL(9,G15:G17)</f>
        <v>1183</v>
      </c>
      <c r="H18" s="865">
        <f t="shared" ref="H18:O18" si="10">SUBTOTAL(9,H14:H17)</f>
        <v>0</v>
      </c>
      <c r="I18" s="867">
        <f t="shared" si="10"/>
        <v>0</v>
      </c>
      <c r="J18" s="867">
        <f t="shared" si="10"/>
        <v>0</v>
      </c>
      <c r="K18" s="867">
        <f t="shared" si="10"/>
        <v>0</v>
      </c>
      <c r="L18" s="867">
        <f t="shared" si="10"/>
        <v>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867</v>
      </c>
      <c r="X18" s="867">
        <f t="shared" si="11"/>
        <v>25</v>
      </c>
      <c r="Y18" s="868">
        <f t="shared" si="11"/>
        <v>892</v>
      </c>
      <c r="Z18" s="868">
        <f t="shared" si="11"/>
        <v>0</v>
      </c>
      <c r="AA18" s="868">
        <f t="shared" si="11"/>
        <v>1188</v>
      </c>
      <c r="AB18" s="868">
        <f t="shared" si="11"/>
        <v>163</v>
      </c>
      <c r="AC18" s="868">
        <f t="shared" si="11"/>
        <v>1351</v>
      </c>
      <c r="AD18" s="868">
        <f t="shared" si="11"/>
        <v>0</v>
      </c>
      <c r="AE18" s="872">
        <f t="shared" si="11"/>
        <v>0</v>
      </c>
      <c r="AF18" s="865">
        <f t="shared" si="11"/>
        <v>0</v>
      </c>
      <c r="AG18" s="873">
        <f t="shared" si="11"/>
        <v>0</v>
      </c>
      <c r="AH18" s="870">
        <f t="shared" si="11"/>
        <v>0</v>
      </c>
      <c r="AI18" s="865">
        <f t="shared" si="11"/>
        <v>98</v>
      </c>
      <c r="AJ18" s="867">
        <f t="shared" si="11"/>
        <v>0</v>
      </c>
      <c r="AK18" s="870">
        <f t="shared" si="11"/>
        <v>0</v>
      </c>
      <c r="AL18" s="874">
        <f>IF(ISNUMBER(NºAsuntos!G18/NºAsuntos!E18),NºAsuntos!G18/NºAsuntos!E18," - ")</f>
        <v>1.0433212996389891</v>
      </c>
      <c r="AM18" s="874">
        <f>IF(ISNUMBER(((NºAsuntos!I18/NºAsuntos!G18)*11)/factor_trimestre),((NºAsuntos!I18/NºAsuntos!G18)*11)/factor_trimestre," - ")</f>
        <v>4.1107266435986158</v>
      </c>
      <c r="AN18" s="875">
        <f>IF(ISNUMBER('Resol  Asuntos'!D18/NºAsuntos!G18),'Resol  Asuntos'!D18/NºAsuntos!G18," - ")</f>
        <v>0.11303344867358708</v>
      </c>
      <c r="AO18" s="876">
        <f>IF(ISNUMBER((NºAsuntos!C18+NºAsuntos!E18)/NºAsuntos!G18),(NºAsuntos!C18+NºAsuntos!E18)/NºAsuntos!G18," - ")</f>
        <v>2.3229527104959633</v>
      </c>
      <c r="AP18" s="877" t="str">
        <f t="shared" si="2"/>
        <v xml:space="preserve"> - </v>
      </c>
      <c r="AQ18" s="877">
        <f>IF(ISNUMBER((H18-W18+K18)/(F18)),(H18-W18+K18)/(F18)," - ")</f>
        <v>-0.80501392757660162</v>
      </c>
      <c r="AR18" s="878">
        <f>IF(ISNUMBER((Datos!P18-Datos!Q18)/(Datos!R18-Datos!P18+Datos!Q18)),(Datos!P18-Datos!Q18)/(Datos!R18-Datos!P18+Datos!Q18)," - ")</f>
        <v>9.3959731543624164E-2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1083</v>
      </c>
      <c r="G19" s="821">
        <f t="shared" si="13"/>
        <v>1189</v>
      </c>
      <c r="H19" s="820">
        <f t="shared" si="13"/>
        <v>0</v>
      </c>
      <c r="I19" s="822">
        <f t="shared" si="13"/>
        <v>0</v>
      </c>
      <c r="J19" s="822">
        <f t="shared" si="13"/>
        <v>0</v>
      </c>
      <c r="K19" s="881">
        <f t="shared" si="13"/>
        <v>0</v>
      </c>
      <c r="L19" s="822">
        <f t="shared" si="13"/>
        <v>125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867</v>
      </c>
      <c r="X19" s="821">
        <f t="shared" si="14"/>
        <v>1157</v>
      </c>
      <c r="Y19" s="828">
        <f t="shared" si="14"/>
        <v>2024</v>
      </c>
      <c r="Z19" s="828">
        <f t="shared" si="14"/>
        <v>0</v>
      </c>
      <c r="AA19" s="828">
        <f t="shared" si="14"/>
        <v>1196</v>
      </c>
      <c r="AB19" s="828">
        <f t="shared" si="14"/>
        <v>2323</v>
      </c>
      <c r="AC19" s="828">
        <f t="shared" si="14"/>
        <v>1359</v>
      </c>
      <c r="AD19" s="828">
        <f t="shared" si="14"/>
        <v>0</v>
      </c>
      <c r="AE19" s="830">
        <f t="shared" si="14"/>
        <v>0</v>
      </c>
      <c r="AF19" s="831">
        <f t="shared" si="14"/>
        <v>0</v>
      </c>
      <c r="AG19" s="832">
        <f t="shared" si="14"/>
        <v>0</v>
      </c>
      <c r="AH19" s="830">
        <f t="shared" si="14"/>
        <v>0</v>
      </c>
      <c r="AI19" s="820">
        <f t="shared" si="14"/>
        <v>218</v>
      </c>
      <c r="AJ19" s="820">
        <f t="shared" si="14"/>
        <v>0</v>
      </c>
      <c r="AK19" s="830">
        <f t="shared" si="14"/>
        <v>0</v>
      </c>
      <c r="AL19" s="884">
        <f>IF(ISNUMBER(NºAsuntos!G19/NºAsuntos!E19),NºAsuntos!G19/NºAsuntos!E19," - ")</f>
        <v>0.75972927241962773</v>
      </c>
      <c r="AM19" s="885">
        <f>IF(ISNUMBER(((NºAsuntos!I19/NºAsuntos!G19)*11)/factor_trimestre),((NºAsuntos!I19/NºAsuntos!G19)*11)/factor_trimestre," - ")</f>
        <v>10.461024498886415</v>
      </c>
      <c r="AN19" s="885">
        <f>IF(ISNUMBER('Resol  Asuntos'!D19/NºAsuntos!G19),'Resol  Asuntos'!D19/NºAsuntos!G19," - ")</f>
        <v>0.16184112843355605</v>
      </c>
      <c r="AO19" s="886">
        <f>IF(ISNUMBER((NºAsuntos!C19+NºAsuntos!E19)/NºAsuntos!G19),(NºAsuntos!C19+NºAsuntos!E19)/NºAsuntos!G19," - ")</f>
        <v>4.4565701559020043</v>
      </c>
      <c r="AP19" s="887" t="str">
        <f t="shared" si="2"/>
        <v xml:space="preserve"> - </v>
      </c>
      <c r="AQ19" s="888">
        <f>IF(OR(ISNUMBER(FIND("01",Criterios!A8,1)),ISNUMBER(FIND("02",Criterios!A8,1)),ISNUMBER(FIND("03",Criterios!A8,1)),ISNUMBER(FIND("04",Criterios!A8,1))),(I19-W19+K19)/(F19-K19),(H19-W19+K19)/(F19-K19))</f>
        <v>-0.80055401662049863</v>
      </c>
      <c r="AR19" s="889">
        <f>IF(ISNUMBER((Datos!P19-Datos!Q19)/(Datos!R19-Datos!P19+Datos!Q19)),(Datos!P19-Datos!Q19)/(Datos!R19-Datos!P19+Datos!Q19)," - ")</f>
        <v>-0.30760059612518631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618.34213830208921</v>
      </c>
      <c r="G21" s="253">
        <f>IF(ISNUMBER(STDEV(G8:G18)),STDEV(G8:G18),"-")</f>
        <v>583.84270141879824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443.31219247839329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52.602915001610569</v>
      </c>
      <c r="AJ21" s="252">
        <f t="shared" si="18"/>
        <v>0</v>
      </c>
      <c r="AK21" s="254">
        <f t="shared" si="18"/>
        <v>0</v>
      </c>
      <c r="AL21" s="249">
        <f t="shared" si="18"/>
        <v>0.40340335961217783</v>
      </c>
      <c r="AM21" s="250">
        <f t="shared" si="18"/>
        <v>9.3517259693271111</v>
      </c>
      <c r="AN21" s="250">
        <f t="shared" si="18"/>
        <v>7.1628566047569425E-2</v>
      </c>
      <c r="AO21" s="251">
        <f t="shared" si="18"/>
        <v>3.1378628781133124</v>
      </c>
      <c r="AP21" s="291" t="str">
        <f t="shared" si="18"/>
        <v>-</v>
      </c>
      <c r="AQ21" s="292">
        <f t="shared" si="18"/>
        <v>0.56923080713903129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78eT+7Ca6FczJ8biCDFTcmvs4eqvGrkNEQIIPVVbYqitfgKbm7hChwnrVmiLVd6yJMBOp/8h7O/YMH6ftAYzMA==" saltValue="wqpM1ke0LljRRKa54tcx7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OCAÑA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v>
      </c>
      <c r="E10" s="348">
        <f>IF(ISNUMBER((Datos!J10-Datos!T10)/Datos!T10),(Datos!J10-Datos!T10)/Datos!T10," - ")</f>
        <v>-0.33333333333333331</v>
      </c>
      <c r="F10" s="348">
        <f>IF(ISNUMBER((Datos!K10-Datos!U10)/Datos!U10),(Datos!K10-Datos!U10)/Datos!U10," - ")</f>
        <v>-1</v>
      </c>
      <c r="G10" s="349">
        <f>IF(ISNUMBER((Datos!L10-Datos!V10)/Datos!V10),(Datos!L10-Datos!V10)/Datos!V10," - ")</f>
        <v>7</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0.73913043478260865</v>
      </c>
      <c r="I12" s="350">
        <f>IF(ISNUMBER((Tasas!C12-Datos!BE12)/Datos!BE12),(Tasas!C12-Datos!BE12)/Datos!BE12," - ")</f>
        <v>0.10969917012448142</v>
      </c>
      <c r="J12" s="349">
        <f>IF(ISNUMBER((Tasas!D12-Datos!BF12)/Datos!BF12),(Tasas!D12-Datos!BF12)/Datos!BF12," - ")</f>
        <v>-0.1729323308270676</v>
      </c>
      <c r="K12" s="351">
        <f>IF(ISNUMBER((Tasas!E12-Datos!BG12)/Datos!BG12),(Tasas!E12-Datos!BG12)/Datos!BG12," - ")</f>
        <v>9.5213085234093608E-2</v>
      </c>
      <c r="M12" t="e">
        <f>IF(Monitorios="SI",Datos!CE12,0)</f>
        <v>#REF!</v>
      </c>
      <c r="N12" t="e">
        <f>IF(Monitorios="SI",Datos!CF12,0)</f>
        <v>#REF!</v>
      </c>
      <c r="O12" t="e">
        <f>IF(Monitorios="SI",Datos!CG12,0)</f>
        <v>#REF!</v>
      </c>
      <c r="P12" t="e">
        <f>IF(Monitorios="SI",Datos!CH12,0)</f>
        <v>#REF!</v>
      </c>
      <c r="Q12">
        <f>IF(J_V="SI",0,Datos!AG12)</f>
        <v>162</v>
      </c>
      <c r="R12">
        <f>IF(J_V="SI",0,Datos!AH12)</f>
        <v>40</v>
      </c>
      <c r="S12">
        <f>IF(J_V="SI",0,Datos!AI12)</f>
        <v>31</v>
      </c>
      <c r="T12">
        <f>IF(J_V="SI",0,Datos!AJ12)</f>
        <v>171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0.66666666666666663</v>
      </c>
      <c r="I13" s="357">
        <f>IF(ISNUMBER((Tasas!C13-Datos!BE13)/Datos!BE13),(Tasas!C13-Datos!BE13)/Datos!BE13," - ")</f>
        <v>0.14217363751584294</v>
      </c>
      <c r="J13" s="355">
        <f>IF(ISNUMBER((Tasas!D13-Datos!BF13)/Datos!BF13),(Tasas!D13-Datos!BF13)/Datos!BF13," - ")</f>
        <v>-0.16911764705882359</v>
      </c>
      <c r="K13" s="358">
        <f>IF(ISNUMBER((Tasas!E13-Datos!BG13)/Datos!BG13),(Tasas!E13-Datos!BG13)/Datos!BG13," - ")</f>
        <v>0.12296213253612365</v>
      </c>
      <c r="M13" t="e">
        <f>IF(Monitorios="SI",Datos!CE13,0)</f>
        <v>#REF!</v>
      </c>
      <c r="N13" t="e">
        <f>IF(Monitorios="SI",Datos!CF13,0)</f>
        <v>#REF!</v>
      </c>
      <c r="O13" t="e">
        <f>IF(Monitorios="SI",Datos!CG13,0)</f>
        <v>#REF!</v>
      </c>
      <c r="P13" t="e">
        <f>IF(Monitorios="SI",Datos!CH13,0)</f>
        <v>#REF!</v>
      </c>
      <c r="Q13">
        <f>IF(J_V="SI",0,Datos!AG13)</f>
        <v>162</v>
      </c>
      <c r="R13">
        <f>IF(J_V="SI",0,Datos!AH13)</f>
        <v>40</v>
      </c>
      <c r="S13">
        <f>IF(J_V="SI",0,Datos!AI13)</f>
        <v>31</v>
      </c>
      <c r="T13">
        <f>IF(J_V="SI",0,Datos!AJ13)</f>
        <v>171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0.26805385556915545</v>
      </c>
      <c r="E16" s="348">
        <f>IF(ISNUMBER(
   IF(D_I="SI",(Datos!J16-Datos!T16)/Datos!T16,(Datos!J16+Datos!AD16-(Datos!T16+Datos!AL16))/(Datos!T16+Datos!AL16))
     ),IF(D_I="SI",(Datos!J16-Datos!T16)/Datos!T16,(Datos!J16+Datos!AD16-(Datos!T16+Datos!AL16))/(Datos!T16+Datos!AL16))," - ")</f>
        <v>8.4070796460176997E-2</v>
      </c>
      <c r="F16" s="348">
        <f>IF(ISNUMBER(
   IF(D_I="SI",(Datos!K16-Datos!U16)/Datos!U16,(Datos!K16+Datos!AE16-(Datos!U16+Datos!AM16))/(Datos!U16+Datos!AM16))
     ),IF(D_I="SI",(Datos!K16-Datos!U16)/Datos!U16,(Datos!K16+Datos!AE16-(Datos!U16+Datos!AM16))/(Datos!U16+Datos!AM16))," - ")</f>
        <v>0.28271405492730212</v>
      </c>
      <c r="G16" s="349">
        <f>IF(ISNUMBER(
   IF(D_I="SI",(Datos!L16-Datos!V16)/Datos!V16,(Datos!L16+Datos!AF16-(Datos!V16+Datos!AN16))/(Datos!V16+Datos!AN16))
     ),IF(D_I="SI",(Datos!L16-Datos!V16)/Datos!V16,(Datos!L16+Datos!AF16-(Datos!V16+Datos!AN16))/(Datos!V16+Datos!AN16))," - ")</f>
        <v>0.15288788221970556</v>
      </c>
      <c r="H16" s="230">
        <f>IF(ISNUMBER((Datos!M16-Datos!W16)/Datos!W16),(Datos!M16-Datos!W16)/Datos!W16," - ")</f>
        <v>0.50909090909090904</v>
      </c>
      <c r="I16" s="350">
        <f>IF(ISNUMBER((Tasas!C16-Datos!BE16)/Datos!BE16),(Tasas!C16-Datos!BE16)/Datos!BE16," - ")</f>
        <v>-0.10121209182116156</v>
      </c>
      <c r="J16" s="349">
        <f>IF(ISNUMBER((Tasas!D16-Datos!BF16)/Datos!BF16),(Tasas!D16-Datos!BF16)/Datos!BF16," - ")</f>
        <v>0.1764827112434165</v>
      </c>
      <c r="K16" s="351">
        <f>IF(ISNUMBER((Tasas!E16-Datos!BG16)/Datos!BG16),(Tasas!E16-Datos!BG16)/Datos!BG16," - ")</f>
        <v>-7.6477426855260502E-2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0.61538461538461542</v>
      </c>
      <c r="E17" s="348">
        <f>IF(ISNUMBER(
   IF(D_I="SI",(Datos!J17-Datos!T17)/Datos!T17,(Datos!J17+Datos!AD17-(Datos!T17+Datos!AL17))/(Datos!T17+Datos!AL17))
     ),IF(D_I="SI",(Datos!J17-Datos!T17)/Datos!T17,(Datos!J17+Datos!AD17-(Datos!T17+Datos!AL17))/(Datos!T17+Datos!AL17))," - ")</f>
        <v>3</v>
      </c>
      <c r="F17" s="348">
        <f>IF(ISNUMBER(
   IF(D_I="SI",(Datos!K17-Datos!U17)/Datos!U17,(Datos!K17+Datos!AE17-(Datos!U17+Datos!AM17))/(Datos!U17+Datos!AM17))
     ),IF(D_I="SI",(Datos!K17-Datos!U17)/Datos!U17,(Datos!K17+Datos!AE17-(Datos!U17+Datos!AM17))/(Datos!U17+Datos!AM17))," - ")</f>
        <v>2.1739130434782608</v>
      </c>
      <c r="G17" s="349">
        <f>IF(ISNUMBER(
   IF(D_I="SI",(Datos!L17-Datos!V17)/Datos!V17,(Datos!L17+Datos!AF17-(Datos!V17+Datos!AN17))/(Datos!V17+Datos!AN17))
     ),IF(D_I="SI",(Datos!L17-Datos!V17)/Datos!V17,(Datos!L17+Datos!AF17-(Datos!V17+Datos!AN17))/(Datos!V17+Datos!AN17))," - ")</f>
        <v>0.84782608695652173</v>
      </c>
      <c r="H17" s="230">
        <f>IF(ISNUMBER((Datos!M17-Datos!W17)/Datos!W17),(Datos!M17-Datos!W17)/Datos!W17," - ")</f>
        <v>7.1428571428571425E-2</v>
      </c>
      <c r="I17" s="350">
        <f>IF(ISNUMBER((Tasas!C17-Datos!BE17)/Datos!BE17),(Tasas!C17-Datos!BE17)/Datos!BE17," - ")</f>
        <v>-0.4178082191780822</v>
      </c>
      <c r="J17" s="349">
        <f>IF(ISNUMBER((Tasas!D17-Datos!BF17)/Datos!BF17),(Tasas!D17-Datos!BF17)/Datos!BF17," - ")</f>
        <v>-0.66242661448140905</v>
      </c>
      <c r="K17" s="351">
        <f>IF(ISNUMBER((Tasas!E17-Datos!BG17)/Datos!BG17),(Tasas!E17-Datos!BG17)/Datos!BG17," - ")</f>
        <v>-0.33424657534246577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0.30286343612334804</v>
      </c>
      <c r="E18" s="354">
        <f>IF(ISNUMBER(
   IF(D_I="SI",(Datos!J18-Datos!T18)/Datos!T18,(Datos!J18+Datos!AD18-(Datos!T18+Datos!AL18))/(Datos!T18+Datos!AL18))
     ),IF(D_I="SI",(Datos!J18-Datos!T18)/Datos!T18,(Datos!J18+Datos!AD18-(Datos!T18+Datos!AL18))/(Datos!T18+Datos!AL18))," - ")</f>
        <v>0.18376068376068377</v>
      </c>
      <c r="F18" s="354">
        <f>IF(ISNUMBER(
   IF(D_I="SI",(Datos!K18-Datos!U18)/Datos!U18,(Datos!K18+Datos!AE18-(Datos!U18+Datos!AM18))/(Datos!U18+Datos!AM18))
     ),IF(D_I="SI",(Datos!K18-Datos!U18)/Datos!U18,(Datos!K18+Datos!AE18-(Datos!U18+Datos!AM18))/(Datos!U18+Datos!AM18))," - ")</f>
        <v>0.35046728971962615</v>
      </c>
      <c r="G18" s="355">
        <f>IF(ISNUMBER(
   IF(D_I="SI",(Datos!L18-Datos!V18)/Datos!V18,(Datos!L18+Datos!AF18-(Datos!V18+Datos!AN18))/(Datos!V18+Datos!AN18))
     ),IF(D_I="SI",(Datos!L18-Datos!V18)/Datos!V18,(Datos!L18+Datos!AF18-(Datos!V18+Datos!AN18))/(Datos!V18+Datos!AN18))," - ")</f>
        <v>0.21846153846153846</v>
      </c>
      <c r="H18" s="356">
        <f>IF(ISNUMBER((Datos!M18-Datos!W18)/Datos!W18),(Datos!M18-Datos!W18)/Datos!W18," - ")</f>
        <v>0.42028985507246375</v>
      </c>
      <c r="I18" s="357">
        <f>IF(ISNUMBER((Tasas!C18-Datos!BE18)/Datos!BE18),(Tasas!C18-Datos!BE18)/Datos!BE18," - ")</f>
        <v>-9.7748203353739752E-2</v>
      </c>
      <c r="J18" s="355">
        <f>IF(ISNUMBER((Tasas!D18-Datos!BF18)/Datos!BF18),(Tasas!D18-Datos!BF18)/Datos!BF18," - ")</f>
        <v>5.1702522441201576E-2</v>
      </c>
      <c r="K18" s="358">
        <f>IF(ISNUMBER((Tasas!E18-Datos!BG18)/Datos!BG18),(Tasas!E18-Datos!BG18)/Datos!BG18," - ")</f>
        <v>-7.3704571342603512E-2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0.35881786058464504</v>
      </c>
      <c r="E19" s="363">
        <f>IF(ISNUMBER(
   IF(J_V="SI",(Datos!J19-Datos!T19)/Datos!T19,(Datos!J19+Datos!Z19-(Datos!T19+Datos!AH19))/(Datos!T19+Datos!AH19))
     ),IF(J_V="SI",(Datos!J19-Datos!T19)/Datos!T19,(Datos!J19+Datos!Z19-(Datos!T19+Datos!AH19))/(Datos!T19+Datos!AH19))," - ")</f>
        <v>-3.7459283387622153E-2</v>
      </c>
      <c r="F19" s="363">
        <f>IF(ISNUMBER(
   IF(J_V="SI",(Datos!K19-Datos!U19)/Datos!U19,(Datos!K19+Datos!AA19-(Datos!U19+Datos!AI19))/(Datos!U19+Datos!AI19))
     ),IF(J_V="SI",(Datos!K19-Datos!U19)/Datos!U19,(Datos!K19+Datos!AA19-(Datos!U19+Datos!AI19))/(Datos!U19+Datos!AI19))," - ")</f>
        <v>0.23126142595978061</v>
      </c>
      <c r="G19" s="364">
        <f>IF(ISNUMBER(
   IF(J_V="SI",(Datos!L19-Datos!V19)/Datos!V19,(Datos!L19+Datos!AB19-(Datos!V19+Datos!AJ19))/(Datos!V19+Datos!AJ19))
     ),IF(J_V="SI",(Datos!L19-Datos!V19)/Datos!V19,(Datos!L19+Datos!AB19-(Datos!V19+Datos!AJ19))/(Datos!V19+Datos!AJ19))," - ")</f>
        <v>0.21432264736297829</v>
      </c>
      <c r="H19" s="365">
        <f>IF(ISNUMBER((Datos!M19-Datos!W19)/Datos!W19),(Datos!M19-Datos!W19)/Datos!W19," - ")</f>
        <v>0.54609929078014185</v>
      </c>
      <c r="I19" s="362">
        <f>IF(ISNUMBER((Tasas!C19-Datos!BE19)/Datos!BE19),(Tasas!C19-Datos!BE19)/Datos!BE19," - ")</f>
        <v>-1.375725596503471E-2</v>
      </c>
      <c r="J19" s="363">
        <f>IF(ISNUMBER((Tasas!D19-Datos!BF19)/Datos!BF19),(Tasas!D19-Datos!BF19)/Datos!BF19," - ")</f>
        <v>-0.13632100240824227</v>
      </c>
      <c r="K19" s="364">
        <f>IF(ISNUMBER((Tasas!E19-Datos!BG19)/Datos!BG19),(Tasas!E19-Datos!BG19)/Datos!BG19," - ")</f>
        <v>-1.6046871734249728E-2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0.42728198456824101</v>
      </c>
      <c r="E21" s="278">
        <f t="shared" si="1"/>
        <v>1.5274299935188704</v>
      </c>
      <c r="F21" s="278">
        <f t="shared" si="1"/>
        <v>1.3054060602897202</v>
      </c>
      <c r="G21" s="279">
        <f t="shared" si="1"/>
        <v>3.31165606686959</v>
      </c>
      <c r="H21" s="285">
        <f t="shared" si="1"/>
        <v>0.64837033493072571</v>
      </c>
      <c r="I21" s="277">
        <f t="shared" si="1"/>
        <v>0.22359549558157454</v>
      </c>
      <c r="J21" s="278">
        <f t="shared" si="1"/>
        <v>0.32039391093107</v>
      </c>
      <c r="K21" s="279">
        <f t="shared" si="1"/>
        <v>0.18235198211784132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1PxcDtp7obOtdCmjqWtjnmyfWnLb3F/SAfzFUgbx/+TT9hhGQWUzJ4zHAORJFx75QbIPMjePYz3wFN/X3js8g==" saltValue="x6IOFzPG8Z+UVtrbBXAJE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